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robmechanic/Downloads/"/>
    </mc:Choice>
  </mc:AlternateContent>
  <xr:revisionPtr revIDLastSave="0" documentId="13_ncr:1_{C5D5671D-9900-2946-A9D1-788CAD15C08C}" xr6:coauthVersionLast="47" xr6:coauthVersionMax="47" xr10:uidLastSave="{00000000-0000-0000-0000-000000000000}"/>
  <bookViews>
    <workbookView xWindow="0" yWindow="500" windowWidth="30180" windowHeight="19340" xr2:uid="{98C833A6-A3B2-447A-8499-AE036157186B}"/>
  </bookViews>
  <sheets>
    <sheet name="Table of Contents" sheetId="8" r:id="rId1"/>
    <sheet name="Costs &amp; Revenue" sheetId="1" r:id="rId2"/>
    <sheet name="HBPC Program Savings" sheetId="9" r:id="rId3"/>
    <sheet name="Paramedic Program Savings" sheetId="5" r:id="rId4"/>
    <sheet name="Choice" sheetId="6" state="hidden" r:id="rId5"/>
    <sheet name="Shared Savings" sheetId="2" r:id="rId6"/>
    <sheet name="Extra C&amp;B" sheetId="7" r:id="rId7"/>
    <sheet name="Return on Investment" sheetId="3" r:id="rId8"/>
    <sheet name="Inflation" sheetId="4" r:id="rId9"/>
    <sheet name="Reference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 r="E10" i="5"/>
  <c r="C10" i="5"/>
  <c r="G15" i="9" l="1"/>
  <c r="F15" i="9"/>
  <c r="E15" i="9"/>
  <c r="D15" i="9"/>
  <c r="F14" i="9"/>
  <c r="E14" i="9"/>
  <c r="E13" i="9"/>
  <c r="B14" i="2"/>
  <c r="B10" i="7" l="1"/>
  <c r="K22" i="1" l="1"/>
  <c r="J22" i="1"/>
  <c r="I22" i="1"/>
  <c r="E27" i="9"/>
  <c r="D14" i="9" s="1"/>
  <c r="E10" i="7" l="1"/>
  <c r="H55" i="1"/>
  <c r="C9" i="3" s="1"/>
  <c r="E21" i="9" l="1"/>
  <c r="D13" i="9" s="1"/>
  <c r="F18" i="3"/>
  <c r="B20" i="2"/>
  <c r="H27" i="1"/>
  <c r="H28" i="1"/>
  <c r="H26" i="1"/>
  <c r="H15" i="1"/>
  <c r="H16" i="1"/>
  <c r="H17" i="1"/>
  <c r="H18" i="1"/>
  <c r="H19" i="1"/>
  <c r="H20" i="1"/>
  <c r="H21" i="1"/>
  <c r="H14" i="1"/>
  <c r="F29" i="1"/>
  <c r="E14" i="8" l="1"/>
  <c r="C18" i="3"/>
  <c r="E13" i="8"/>
  <c r="D15" i="2"/>
  <c r="H29" i="1"/>
  <c r="C5" i="3" s="1"/>
  <c r="H22" i="1"/>
  <c r="B8" i="2"/>
  <c r="D8" i="2" s="1"/>
  <c r="H51" i="1"/>
  <c r="C8" i="3" s="1"/>
  <c r="F22" i="1"/>
  <c r="F33" i="1" s="1"/>
  <c r="D14" i="2" l="1"/>
  <c r="H33" i="1"/>
  <c r="H34" i="1" s="1"/>
  <c r="H35" i="1"/>
  <c r="C6" i="3" s="1"/>
  <c r="B9" i="2"/>
  <c r="D9" i="2"/>
  <c r="H40" i="1"/>
  <c r="H5" i="1"/>
  <c r="L18" i="1" l="1"/>
  <c r="L14" i="1"/>
  <c r="L15" i="1"/>
  <c r="L19" i="1"/>
  <c r="L16" i="1"/>
  <c r="L20" i="1"/>
  <c r="L17" i="1"/>
  <c r="L21" i="1"/>
  <c r="H41" i="1"/>
  <c r="D10" i="2"/>
  <c r="H36" i="1"/>
  <c r="C4" i="3"/>
  <c r="C7" i="3"/>
  <c r="L22" i="1" l="1"/>
  <c r="C10" i="3"/>
  <c r="D16" i="2"/>
  <c r="B21" i="2" s="1"/>
  <c r="E12" i="8" s="1"/>
  <c r="F4" i="3" l="1"/>
  <c r="E11" i="8"/>
  <c r="F5" i="3"/>
  <c r="C12" i="3"/>
  <c r="C19" i="3"/>
  <c r="C11" i="3"/>
  <c r="F10" i="3" l="1"/>
  <c r="E14" i="3" s="1"/>
  <c r="F11" i="3" l="1"/>
  <c r="F19" i="3"/>
  <c r="E21" i="3" s="1"/>
  <c r="E16" i="8" s="1"/>
  <c r="F12" i="3"/>
</calcChain>
</file>

<file path=xl/sharedStrings.xml><?xml version="1.0" encoding="utf-8"?>
<sst xmlns="http://schemas.openxmlformats.org/spreadsheetml/2006/main" count="420" uniqueCount="332">
  <si>
    <t>Patients to serve</t>
  </si>
  <si>
    <t>Total visits in the year (all patients)</t>
  </si>
  <si>
    <t>(2) Visit Intensity</t>
  </si>
  <si>
    <t>Enter in the number of times you expect, on average, to visit each patient per year.</t>
  </si>
  <si>
    <t>Visits/patient/year</t>
  </si>
  <si>
    <t>TOTAL</t>
  </si>
  <si>
    <t>Program ROI:</t>
  </si>
  <si>
    <t>RN</t>
  </si>
  <si>
    <t>Paramedic</t>
  </si>
  <si>
    <t>CHW</t>
  </si>
  <si>
    <t>Pharmacist</t>
  </si>
  <si>
    <t>Total miles driven</t>
  </si>
  <si>
    <t>Total mileage spending</t>
  </si>
  <si>
    <t>Enter in the mileage reimbursement amount in $/mile.</t>
  </si>
  <si>
    <t>Visit-related (variable) cost per visit</t>
  </si>
  <si>
    <t>Total other visits costs all visits</t>
  </si>
  <si>
    <t>Enter in any fixed costs that occur on an annual basis (amounts inserted here should be on a per-year basis).</t>
  </si>
  <si>
    <t>Total fixed costs</t>
  </si>
  <si>
    <t>% of visits reimbursed</t>
  </si>
  <si>
    <t>Average cost/ED visit</t>
  </si>
  <si>
    <t>Enter in the % of savings expected to be shared between the ACO and the payer based on the ACO's contract.</t>
  </si>
  <si>
    <t>Shared savings %</t>
  </si>
  <si>
    <t>Other</t>
  </si>
  <si>
    <t>Other Supplies</t>
  </si>
  <si>
    <t>Project Admins</t>
  </si>
  <si>
    <t>Other Admins</t>
  </si>
  <si>
    <t>Physicians</t>
  </si>
  <si>
    <t>Social worker</t>
  </si>
  <si>
    <t>Community Health Worker</t>
  </si>
  <si>
    <t>Nurse Practitioners</t>
  </si>
  <si>
    <t>Registered Nurse</t>
  </si>
  <si>
    <t>MD</t>
  </si>
  <si>
    <t>NP</t>
  </si>
  <si>
    <t>PM</t>
  </si>
  <si>
    <t>PHARM</t>
  </si>
  <si>
    <t>SW</t>
  </si>
  <si>
    <t>PA</t>
  </si>
  <si>
    <t>O</t>
  </si>
  <si>
    <t>Miles per week per provider</t>
  </si>
  <si>
    <t>Tolls per clinician per week ($)</t>
  </si>
  <si>
    <t>Medication</t>
  </si>
  <si>
    <t>PPE</t>
  </si>
  <si>
    <t>Staff training</t>
  </si>
  <si>
    <t>Volunteer training</t>
  </si>
  <si>
    <t>Enter in any other variable costs that occur on a per visit basis.</t>
  </si>
  <si>
    <t xml:space="preserve">Enter in the number of patients you expect to serve with the program (make sure this is the number of patients served, not the entire eligible population). </t>
  </si>
  <si>
    <t>Hourly Wage</t>
  </si>
  <si>
    <t>How likely are you to achieve shared savings this year?</t>
  </si>
  <si>
    <t>(4) Administrative Staff</t>
  </si>
  <si>
    <t>ACO Admins</t>
  </si>
  <si>
    <t>AA</t>
  </si>
  <si>
    <t>Total</t>
  </si>
  <si>
    <t>(5) Driving &amp; Mileage</t>
  </si>
  <si>
    <t>(7) Other Program Costs</t>
  </si>
  <si>
    <t>Year</t>
  </si>
  <si>
    <t>June Medical Care Services CPI</t>
  </si>
  <si>
    <t>Sources:</t>
  </si>
  <si>
    <t>https://www.bls.gov/cpi/tables/supplemental-files/home.htm</t>
  </si>
  <si>
    <t>https://www.bls.gov/cpi/tables/detailed-reports/home.htm</t>
  </si>
  <si>
    <t>https://beta.bls.gov/dataViewer/view/timeseries/CUUR0000SAM2;jsessionid=36CA8FFCBD8671E8269E167FD40C6A68</t>
  </si>
  <si>
    <t>Citation</t>
  </si>
  <si>
    <t>Rating</t>
  </si>
  <si>
    <t>**</t>
  </si>
  <si>
    <t xml:space="preserve">Ratings: *** is for a study conducted with a randomized control group for best statistical control.  </t>
  </si>
  <si>
    <t xml:space="preserve">                ** is for a study using a control group created using statistical techniques like propensity scoring. These techniques are well-accepted.</t>
  </si>
  <si>
    <t xml:space="preserve">                 * is for a study that looks at outcomes before and after provision of services. This is valuable, but may confuse cost reductions caused by the program with results from other changes in the population such as regression to the mean.</t>
  </si>
  <si>
    <t>Use</t>
  </si>
  <si>
    <t>Don't Use</t>
  </si>
  <si>
    <t>Total toll spending</t>
  </si>
  <si>
    <t>Enter in the hourly wages for the staff</t>
  </si>
  <si>
    <t>OA</t>
  </si>
  <si>
    <t>2000-2011</t>
  </si>
  <si>
    <t>1935-2021</t>
  </si>
  <si>
    <t>2012-2021</t>
  </si>
  <si>
    <t>Extra Costs</t>
  </si>
  <si>
    <t>Extra Benefits</t>
  </si>
  <si>
    <t>Patient out of pocket</t>
  </si>
  <si>
    <t>Employee burnout</t>
  </si>
  <si>
    <t>Opportunity costs</t>
  </si>
  <si>
    <t>Caregiver mental health</t>
  </si>
  <si>
    <t>Patient mental health</t>
  </si>
  <si>
    <t>Patient physical health</t>
  </si>
  <si>
    <t>CPI - Medical Care Services for inflation calculations</t>
  </si>
  <si>
    <t>Hughes SL, Weaver FM, Giobbie-Hurder A, et al. Effectiveness of team-managed homebased primary care: a randomized multicenter trial. JAMA. 2000;284(22):2877-2885, PMID: 11147984.</t>
  </si>
  <si>
    <t>***</t>
  </si>
  <si>
    <t>Edwards ST, Prentice JC, Simon SR, Pizer SD. Home-based primary care and the risk of ambulatory care-sensitive condition hospitalization among older veterans with diabetes mellitus. JAMA Intern Med. 2014;174(11):1796-1803, PMID: 25221986.</t>
  </si>
  <si>
    <t>*</t>
  </si>
  <si>
    <t>Chang C, Jackson SS, Bullman TA, Cobbs EL. Impact of a home-based primary care program in an urban Veterans Affairs medical center. J Am Med Dir Assoc. 2009;10(2):133-137, PMID: 19187882.</t>
  </si>
  <si>
    <t>North L, Kehm L, Bent K, Hartman T. Can home-based primary care: cut costs? Nurse Pract. 2008;33(7):39-44, PMID: 18600171.</t>
  </si>
  <si>
    <t>Key:</t>
  </si>
  <si>
    <t>Yellow = Care transition models only.</t>
  </si>
  <si>
    <t>Employee Satisfaction</t>
  </si>
  <si>
    <t>Total ED Savings</t>
  </si>
  <si>
    <t>Reduction in ED visits, EMS Agency Provider Costs</t>
  </si>
  <si>
    <t xml:space="preserve">Cost per visit, Inpatient Days Reduced, ED visit reduction, EMS Call reduction </t>
  </si>
  <si>
    <t>Total staff by type</t>
  </si>
  <si>
    <t>Total costs (annual)</t>
  </si>
  <si>
    <t>Total HBPC offsets</t>
  </si>
  <si>
    <t>Total ED visits after reduction</t>
  </si>
  <si>
    <t>Total ED visits before reduction</t>
  </si>
  <si>
    <t>Total ED costs after reduction</t>
  </si>
  <si>
    <t>Total ED costs before reduction</t>
  </si>
  <si>
    <t>Total paramed offsets</t>
  </si>
  <si>
    <t>Total estimated savings</t>
  </si>
  <si>
    <t>Expected shared savings %</t>
  </si>
  <si>
    <t>Total expected shared savings</t>
  </si>
  <si>
    <t>Other (add as many additional lines as needed; please label)</t>
  </si>
  <si>
    <t>Total visit reimbursement</t>
  </si>
  <si>
    <t>Total/visit</t>
  </si>
  <si>
    <t>Total/patient</t>
  </si>
  <si>
    <t>Total clinical labor costs</t>
  </si>
  <si>
    <t>Total administrative labor costs</t>
  </si>
  <si>
    <t>Total mileage costs</t>
  </si>
  <si>
    <t>Total variable costs</t>
  </si>
  <si>
    <t>Total overhead costs</t>
  </si>
  <si>
    <t>Enter in the expected value of costs and benefits not captured in previous tabs (annual amounts). These numbers will be included in the benefit-cost ratio, but not the return on investment estimate.</t>
  </si>
  <si>
    <t>Total shared savings</t>
  </si>
  <si>
    <t>No.</t>
  </si>
  <si>
    <t>Chapter</t>
  </si>
  <si>
    <t>Page</t>
  </si>
  <si>
    <t>Tab</t>
  </si>
  <si>
    <t>Completion status</t>
  </si>
  <si>
    <t>Inputs</t>
  </si>
  <si>
    <t>Shared Savings</t>
  </si>
  <si>
    <t>Extra C&amp;B</t>
  </si>
  <si>
    <t>Offsets</t>
  </si>
  <si>
    <t>HBPC Offsets</t>
  </si>
  <si>
    <t>Informational</t>
  </si>
  <si>
    <t>Paramed Offsets</t>
  </si>
  <si>
    <t>Results</t>
  </si>
  <si>
    <t>Appendices</t>
  </si>
  <si>
    <t>Inflation</t>
  </si>
  <si>
    <t>Adjust the number of staff traveling if not all staff from section (3) travel.</t>
  </si>
  <si>
    <t>% Decrease in ED visits</t>
  </si>
  <si>
    <t>(8) Overhead</t>
  </si>
  <si>
    <t>Overhead costs</t>
  </si>
  <si>
    <t>Paramedicine Offsets</t>
  </si>
  <si>
    <t>Laptops, tablets, etc.</t>
  </si>
  <si>
    <t>Excess liability (from not controlling the site of care)</t>
  </si>
  <si>
    <r>
      <t xml:space="preserve">• Since this looks at the percentage reduction in patients who have at least 1 hospitalization, not total number of hospitalizations, financial benefits will likely be underestimates.
</t>
    </r>
    <r>
      <rPr>
        <sz val="11"/>
        <color theme="1"/>
        <rFont val="Calibri"/>
        <family val="2"/>
        <scheme val="minor"/>
      </rPr>
      <t xml:space="preserve">• Results shown annualized amount based on 12 months of data.  </t>
    </r>
  </si>
  <si>
    <r>
      <t xml:space="preserve"> Total </t>
    </r>
    <r>
      <rPr>
        <sz val="11"/>
        <rFont val="Calibri"/>
        <family val="2"/>
        <scheme val="minor"/>
      </rPr>
      <t>allowed</t>
    </r>
    <r>
      <rPr>
        <sz val="11"/>
        <color theme="1"/>
        <rFont val="Calibri"/>
        <family val="2"/>
        <scheme val="minor"/>
      </rPr>
      <t xml:space="preserve"> medical costs (Rx costs, inpt costs, outpt costs)
</t>
    </r>
  </si>
  <si>
    <t>Program beneficiaries and setting</t>
  </si>
  <si>
    <t>● Service providers: EMTs, ED physicians.
● When EMS arrives on scene, the crew assesses the patient and determines whether they were in need of urgent or primary care.
● If patient non-acute or urgent, option to implement telehealth intervention.
● If option used, EMS has a tablet with HIPAA-compliant teleconferencing ability, and there is a physician on-site at EMS headquarters available for virtual visit. 
● The physician determined if they should be transported by ambulance to the ED, given a pre-paid taxi ride to the ED, or have an appointment scheduled at a primary care clinic.</t>
  </si>
  <si>
    <t>● Service providers: EMTs.
● An EMT and a CP liaison nurse conduct the first visit and a care plan is established. 
● Potential services provided are prevention, general assessments, cardiovascular care, respiratory care, postdicharge follow-up, and social services. 
● The paramedic executed the care plan over a set number of follow-up visits</t>
  </si>
  <si>
    <t>Reduction in admissions only.</t>
  </si>
  <si>
    <t>• Study reported per patient per year reduction in overall costs, net of intervention program cost, which was $9,116/pt. per year (2006 $).</t>
  </si>
  <si>
    <t>• Subgroup analysis found that overall cost differences were sig. only in ps w/ highest frailty, JEN Frailty Index &gt;=7 ($56,589 vs. $76,840 over 2 yrs) (vs. 0-3 and 4-6 groups).
•  Results shown based on 24 months of reported savings, divided by 2 to annualize.</t>
  </si>
  <si>
    <t>Total Medicare costs reduction, incl. HBPC services, hospitalizations, SNF, physician, Dx testing, transport, ParB drugs, nonMD practitioners, durable equip, and outpt facility use. They do not include PartD drug costs.</t>
  </si>
  <si>
    <t>User interpretation notes</t>
  </si>
  <si>
    <t>• This is a study sub-population from De Jonge et al. 2014 representing only those with a JEN Frailty Index score of 7+.
• Results shown based on 24 months of reported savings, divided by 2 to annualize.</t>
  </si>
  <si>
    <t>• Costs went up at 12m and then down by 24m for those who survive, predominately based on savings around time of death (reduced admissions).  
• Offsets present 24-month savings divided by 2 to annualize.
• Best to assume the savings amount only if running &gt;1 year program. 
• Alternative value of life-time savings of $14,336/enrollee (2014 $).</t>
  </si>
  <si>
    <t>• Results presented based on data 1 year post-enrollment.
• 3-year post enrollment results would provide a more conservative estimate of offsets.</t>
  </si>
  <si>
    <t xml:space="preserve">Reduction in hospital admissions only
</t>
  </si>
  <si>
    <t>Total savings included inpatient days, no shows, and ED visits</t>
  </si>
  <si>
    <t>Readmissions, acute care visits, home visits</t>
  </si>
  <si>
    <t>Total per member spending</t>
  </si>
  <si>
    <t>Total health care spending</t>
  </si>
  <si>
    <t>Overall medical spending savings</t>
  </si>
  <si>
    <t>References</t>
  </si>
  <si>
    <t xml:space="preserve">• Results reported at 6 months post-enrollment; analysts annualized by multiplying by 2.
</t>
  </si>
  <si>
    <t>Shared savings</t>
  </si>
  <si>
    <t>Extra costs and benefits</t>
  </si>
  <si>
    <t>Home-Based Primary Care (HBPC) and transitional care offsets</t>
  </si>
  <si>
    <t>• Results reported at 12 months post enrollment.
• 98% of cost reductions seen due to a 84% reduction in hospital days for year post-enrollment vs. year pre-enrollment.</t>
  </si>
  <si>
    <t>● Annual in-home visit from MD or NP
● Post-visit, member receives a plan of care letter
● Care is coordinated with PCP
● Visit also can result in other necessary referrals
● 85% had at least one home visit in 2010</t>
  </si>
  <si>
    <t>• Results reported at 180 days post-enrollment; analysts multipled by 2 to annualize.
• Annual cost of intervention was $74,310 (2003 $).</t>
  </si>
  <si>
    <t>• Results reported at 24 weeks post-intervention; analysts multiplied by 2 to annualize.
• Total home visit costs for intervention group over 24 weeks post-discharge: $181,303 (1996 $).</t>
  </si>
  <si>
    <t>• Results reported at 9 months; analysts multiplied by 1.33 to annualize.
• Savings are assumed net of intervention costs.</t>
  </si>
  <si>
    <t>• Results reported at 12 months post enrollment.
• Savings are assumed net of intervention costs.</t>
  </si>
  <si>
    <t>• 6-month results reported per member per month; analysts multiplied by 12 to annualize.
• Not clear how many patients were in each program components: TOC, LHR, and AIM.
• Savings listed are a more conservative interprentation of authors' data; authors estimated a 6-month ROI of 2.97.</t>
  </si>
  <si>
    <t>Medicare expenditures (Parts A &amp; B only)</t>
  </si>
  <si>
    <t xml:space="preserve">• Results reported per quarter per patient; analysts multiplied by 4 to annualize.
• Results based on 2 years of data.
</t>
  </si>
  <si>
    <t>• Results presented per patient-month; analysts multiplied by 12 to annualize.
• Average 223 days of enrollment (179d for those that die; 267 for those discharged alive).</t>
  </si>
  <si>
    <r>
      <t>• Sub-population of those from DeJonge et al. 2014; only those with a JEN Frailty Index score of 7+.
• HBPC practice run by Geriatrics Division of MedStar Washington Hospital Center, Washington, DC.</t>
    </r>
    <r>
      <rPr>
        <sz val="11"/>
        <color theme="1"/>
        <rFont val="Calibri"/>
        <family val="2"/>
        <scheme val="minor"/>
      </rPr>
      <t xml:space="preserve">
</t>
    </r>
  </si>
  <si>
    <t>• Comprehensive longitudinal PC delivered in home by interdisciplinary team.
• Veterans, on average, had 2.9 HBPC visits/month.
• Providers: MDs, nurses, SWs, rehab therapist, dietitian, psychologist, pharmacist; sometimes NP, PA, recreational therapist.</t>
  </si>
  <si>
    <t>• Target care to high-risk patients. 
• Designate primary care manager within team. 
• Provide 24-hour contact for patients, prior approval of scheduled hospital readmissions, transfer stable readmitted patients to step-down beds, and involve HBPC team in readmission discharge planning.
• Providers: HBPC physician, social worker, dietitian, therapists, pharmacists, and health techs.</t>
  </si>
  <si>
    <t xml:space="preserve">Total medical costs incl. HBPC program, VA &amp; non-VA inpt, outpt (Medicare Part B and SNF), hospice, nursing, &amp; other
</t>
  </si>
  <si>
    <t xml:space="preserve">• Initial visit by physician with follow-up visits every 3-4 months and 24/7 on-call telephone coverage as well as in-hospital coverage as needed.
• NP visits at least every 8 weeks, up to several times per week.
• Social workers provide case management for psychosocial and supportive services.
• Providers: MDs (geriatricians), NPs, SWs, LPNs, office coordinators.
</t>
  </si>
  <si>
    <t>• Minimum of 2 HBPC encounters, the first occurring within 6 months of the baseline year. 
• Care provided by an interdisciplinary team.  
• Teams typically meet weekly to develop care plans and arrange appropriate home care services.
• Providers: Physicians, nurses, social workers, psychologists, rehab therapists, dietcians, pharmacists.</t>
  </si>
  <si>
    <t>Program services and provider types</t>
  </si>
  <si>
    <t>• Initial visit with GP or NP; broad needs assessment (psychosocial, SDHs) &amp; physical exam.
• Subsequent visit every 3 months (or more frequently if needed).
• In-home pharmacist consult.
• Providers also made "urgent visits to address acute needs".
• Focus on symptom management, functional improvement &amp; independence, plus medication management.
• Providers: General practitioner (GP), NP, Social worker, Pharmacist, RN (case manager), LPN, MA.</t>
  </si>
  <si>
    <t>• Comprehensive assessment upon admission. 
• Assigned an NP-RN primary care team, a team member visited at least monthly, sometimes weekly.  
• Also provided case management and care for acute issues occurring on weekdays, 90-day care plans.
• Providers: Medical director, NP, RN, social workers, pharmacists, registered dietitian, dental hygienist.</t>
  </si>
  <si>
    <t>• Home visits for E&amp;M. 
• Care is coordinated, care plan established.  
• Provision of preventative and maintenance care, active treatment, and end-of-life care.  
• Patients seen at least monthly.  
• Other community-based services as needed.
• Providers: NP, dietitians, occupational tehrapists, social services, and pharmacists.</t>
  </si>
  <si>
    <t>• Access to 24-hour services for on-demand unplanned care (UPC) needs. 
• Calls triaged by nurses using proprietary triage algorithms and resulted in needs-matched, time-appropriate call navigation. 
• On-demand in-home clinician visit; telephonic consultation with a prescribing provider, social worker, or pharmacist; telemedicine encounter; and/or scheduled follow-up with an MIH clinician, in-network provider, or nonclinical support service (eg, transportation, advocacy, community resources).
• Providers: clinicians, social workers, pharmacists, nonclinical support.</t>
  </si>
  <si>
    <t>• Home-based medical and behavioral health or psychosocial wellness care; palliative care management; and support for high-risk homebound patients for whom regular care is challenging
• 1-hour screening/intake with NP, subsequent monthly in-person or telephone contact
• In-home risk assessment with social worker.
• Providers: MDs, NPs, Social workers, Medical assistants, Consultants as needed: psychologists, psychiatrists, podiatrists, ophthalomologists.</t>
  </si>
  <si>
    <t>• Work with PCP to set disease management goal for one chronic condition that is poorly controlled (intervention &amp; control pts)
• Support from Community Health Worker (CHW) over 6 mo period including monthly face-to-face meetings and weekly communication.
• Work with CHWs to ID achievable goals, discuss obstacles
• CHWs provide coaching, social support, advocacy, and health system navigation, visit pts in hospital as needed. 
• CHWs also IDed long-term supports to help pts after intervention.
•Providers: CHWs had to have HS diploma and 1 mo training program, manager supervised CHWs (typically held MSW).</t>
  </si>
  <si>
    <t>• APNs assumed responsibility for discharge planning while pt. was in hosp. &amp; during the first 4 weeks after index hosp. In-hospital visits, discharge planning, and home visits with APN
• Min. 2 APN home visits w/i 10d of discharge; daily APN phone availability; weekly APN calls w/ pt. or caregiver
• APNs assessed pts' physical &amp; environmental needs, helped pts/caregivers implement improvements in medications, symptom management, diet, activity, sleep, medical follow-up, etc.
• Providers: gerentological APNs with mean 6.5 years post-degree experience. Home visits also by: VNs, physical therapists, occupational therapists, speech therapists (intervention only), social workers, home health aides.</t>
  </si>
  <si>
    <t>• Transition coach helped pts take active role in care transitions, provided continuity across care settings, ensured pt needs were met in all settings
• Coach met with pt once in hospital and once at home; coach also spoke with pt &amp; caregiver by phone 3 times in 28-day post-discharge period
• Provided assistance w/ Rx self-management, pt-centered record owned &amp; maintained by the pt, timely f/u w/ primary and specialty care, &amp; training on condition-specific "red flags" &amp; how to respond w/ key focus on continuity across settings.
• Providers: Transition coaches were advanced practice nurses (APNs).</t>
  </si>
  <si>
    <t>Total Medicare costs  incl. HBPC services, hospitalizations, SNF, MD, Dx testing, transport, PartB drugs (not PartD), nonMD practitioners, durable equip, &amp; outpt facility</t>
  </si>
  <si>
    <t>• Comprehensive, Pt-centered care to home on a regular or as-needed basis aimed at managing chronic conditions through M&amp;E, therapy, Rx, SW, and ancillary services.
• Pts participate in advanced care, hospice, &amp; end of life planning.
• NP conducts thorough intake assessment; care plan &amp; referrals follow.
• SW conducts in-home assessment (fall risks, SDHs, etc.).
• PCP visits pt. every 4-6 mos; PA/NP visits pt. every 2-3 mos; NurseCM call/visit each month.
• Wkly case reviews by care team.
•  Providers: PCP, NP or PA, nurse care manager.</t>
  </si>
  <si>
    <t xml:space="preserve">• Mean length of home care stay for the TM/HBPC group was 5.6 months with a median of 4.5 months. 
• Results shown annualized amount based on 12 months of data.
• Non-monetized benefits included improved quality of life for patients and reduced burden on caregivers.
• Intervention cost $3,334/pt. (1996 $).
</t>
  </si>
  <si>
    <t>Edes T, Kinosian B, Vuckovic NH, et al. Better Access, Quality, and Cost for Clinically Complex Veterans with Home-Based Primary Care. Journal of the American Geriatric Society. 2014;62: 1954-1961</t>
  </si>
  <si>
    <t>De Jonge KE, Jamshed N, Gilden D, et al. Effects of Home-Based Primary Care on Medicare Costs in High-Risk Elders. Journal of the American Geriatric Society. 2014;62: 1825-1831</t>
  </si>
  <si>
    <t>Stanhope SA, Cooley MC, Ellington LF, et al. The Effects of Home-Based Primary Care on Medicare Costs at Spectrum Health/Priority Health (Grand Rapids, MI, USA) from 2012-present: a Matched Cohort Study. BMC Health Services Research. 2018;18(161)</t>
  </si>
  <si>
    <t>Schamess A, Foraker R, Kretovics M, et al. Reduced Emergency Room and Hospital Utilization in Persons with Multiple Chronic Conditions and Disability Receiving Home-Based Primary Care. Disability and Health Journal. 2017;10: 326-333</t>
  </si>
  <si>
    <t>Ruiz S, Snyder LP, Rotondo C, et al. Innovative Home Visit Models Associated with Reductions in Costs, Hospitalizations, and Emergency Department Use. Health Affairs. 2017;36(3): 425-432</t>
  </si>
  <si>
    <t>Roeper B, Mocko J, O'Connor LM, et al. Mobile Integrated Healthcare Intervention and Impact Analysis with a Medicare Advantage Population. Population Health Management. 2018;21(5): 349-356</t>
  </si>
  <si>
    <t>Mattke S, Han D, Wilks A, Sloss E. Medicare Home Visit Program Associated with Fewer Hospital and Nursing Home Admissions, Increased Office Visits. Health Affairs. 2015; 34(12): 2138-2146</t>
  </si>
  <si>
    <t>Melnick GA, Green L, Rich J. House Calls: California Program for Homebound Patients Reduces Monthly Spending, Delivers Meaningful Care. Health Affairs. 2016:35(1): 28-35</t>
  </si>
  <si>
    <t>Kangovi S, Mitra N, Norton L, et al. Effect of Community Health Worker Support on Clinical Outcomes of Low-Income Patients Across Primary Care Facilities. JAMA Intern Med. 2018;178(12): 1635-1643</t>
  </si>
  <si>
    <t>Naylor MD, Brooten D, Campbell R, et al. Comprehensive Dischare Planning and Home Follow-up of Hospitalized Elders. JAMA. 1999;281(7): 613-620</t>
  </si>
  <si>
    <t>% of visits performed by this type of staff</t>
  </si>
  <si>
    <t>Subtotal</t>
  </si>
  <si>
    <t>HBPC &amp; care transition offsets/patient from HBPC offsets tab</t>
  </si>
  <si>
    <t>Paramed offsets/patient from Paramed offsets tab</t>
  </si>
  <si>
    <t>Reimbursement rate (Revenue)</t>
  </si>
  <si>
    <t>(9) Savings from reduced ED visits (optional)</t>
  </si>
  <si>
    <t>• Mean age 76yrs; 50% female; 89% White; chronic disease score 7.0; 12.5% &lt;HS diploma.
• Community-dwelling adults aged ≥65 who have ≥1 of 11 selected conditions (e.g., CAD, diabetes, hip fracture, DVT) and were admitted to delivery system's contract hospital (non-psych admission) during study period (9/2002-8/2003)
• 1yr care transition intervention for elderly patients receiving care in a large, non-profit capitated delivery system in CO.</t>
  </si>
  <si>
    <t>• Mean age 70; 97% male; 63% white.
• Patients with 2+ ADL impairments or a prognonsis of terminal illness or homebound with a primary diagnosis of CHF or COPD. 
• 16 Veterans' Affairs Medical Centers that had HBPC programs.</t>
  </si>
  <si>
    <r>
      <t xml:space="preserve">• 96% male; mean age 77.7 yrs; 69% dependent in 2+ ADLs; avg 8 physical &amp; mental conditions; median survival of 38 mo.
• 9425 Veterans </t>
    </r>
    <r>
      <rPr>
        <b/>
        <sz val="11"/>
        <color theme="1"/>
        <rFont val="Calibri"/>
        <family val="2"/>
        <scheme val="minor"/>
      </rPr>
      <t>newly enrolled</t>
    </r>
    <r>
      <rPr>
        <sz val="11"/>
        <color theme="1"/>
        <rFont val="Calibri"/>
        <family val="2"/>
        <scheme val="minor"/>
      </rPr>
      <t xml:space="preserve"> in HBPC (countrywide); 6951 were dually enrolled in Medicare (2474 VA-only).
</t>
    </r>
  </si>
  <si>
    <r>
      <t>• Mean age, 83.7 for cases &amp; 82.0 for controls; 77% female; 90% Afr. Am.; 37% had JEN score of &gt;=7.
• Home-dwelling, multiple chronic illnesses, Medicare</t>
    </r>
    <r>
      <rPr>
        <b/>
        <sz val="11"/>
        <color theme="1"/>
        <rFont val="Calibri"/>
        <family val="2"/>
        <scheme val="minor"/>
      </rPr>
      <t xml:space="preserve"> FFS </t>
    </r>
    <r>
      <rPr>
        <sz val="11"/>
        <color theme="1"/>
        <rFont val="Calibri"/>
        <family val="2"/>
        <scheme val="minor"/>
      </rPr>
      <t>beneficiaries aged ≥65 years who received HBPC from practice in Washington, DC. 
• Participants cannot be enrolled in an HMO.
• HBPC practice run by Geriatrics Division of MedStar Washington Hospital Center, Washington, DC.</t>
    </r>
  </si>
  <si>
    <t>• Avg. age 79; 21% black; 97% male; 59% had CHF.
• Veterans 67 or older w/ FFS Medicare, diagnosed with diabetes and at least 1 other chronic disease, and had at least 1 hospital admission in 2005-2006. 
• VA patients at VA and non-VA hospitals who received HBPC from 2006-2010.</t>
  </si>
  <si>
    <t>• Female 57%; median age 78; avg. 4m pre-enroll total med cost $13,037.
• Patients insured by PH who have ≥5 chronic conditions and meet medical cost criteria (&gt;$25,000 in both the year prior to enrollment &amp; predicted for the next year)
• Michigan-based HBPC program by Spectrum Health/Priority Health (SH/PH), 2012-2014.</t>
  </si>
  <si>
    <t>• 63 yrs avg; 59% male; 48% white; 28% Medicaid; avg. Charlson score 2.5; avg. # Rx's 21.5.
• Pts aged ≥18 living independent or semi-independently w/ disability causing barriers to office care &amp; ≥2 chronic conditions.
• Franklin County, Ohio State University Wexner Medical Center system, 2012-2015.</t>
  </si>
  <si>
    <t>• Mean age 74; 71% African-American; 96% male; avg 6 comorbidities.
• Frail patients with significant hardship coming in for appts, dependency in 2+ ADLs, residence within 35-miles of medical center. 
• Those hospice eligible or with &lt;6 months to live not included.
• Interdisciplinary HBPC program integrated into an urban VA, tertiary care medical center.</t>
  </si>
  <si>
    <t xml:space="preserve">• Avg. age 80; 93% male; 59% white; 70% dependent in at least one ADL.
• All patients enrolled in the Eastern Colorado Health Care System (ECHCS) HBPC program.
</t>
  </si>
  <si>
    <t>• 80% female; 57% &lt;75yrs; 76% Black.
• Dual eligible Medicare/ Medicaid beneficiatries.
• Johns Hopkins Univesity School of Nursing's Community Aging in Place, Advancing Better Living for Elder (CAPABLE), July 2012-December 2015.</t>
  </si>
  <si>
    <t>• Mean age 73.6yr, 58% female, 24% CHF; 38% COPD; 47% Diabetes; 13% dementia; HCC 3.03.
• High-risk Medicare Advantage beneficiaries.
• Mobile Integrated Healthcare (MIH) program in Florida, Nov2015 - Feb2016.</t>
  </si>
  <si>
    <r>
      <t xml:space="preserve">• CSNP: 60% female, 40% dual-eligible, 52% White.
• MA Patients in a </t>
    </r>
    <r>
      <rPr>
        <sz val="11"/>
        <color theme="1"/>
        <rFont val="Calibri"/>
        <family val="2"/>
      </rPr>
      <t>Chronic Special Needs Plan (CSNP) with diabetes, heart failure, or COPD.
• HouseCalls home visit program 2008-2013, locate</t>
    </r>
    <r>
      <rPr>
        <sz val="11"/>
        <color theme="1"/>
        <rFont val="Calibri"/>
        <family val="2"/>
        <scheme val="minor"/>
      </rPr>
      <t>d in Arkansas, Georgia, Missouri, South Carolina, and Texas.</t>
    </r>
  </si>
  <si>
    <t>• 55% 85+ years; 63% women.
• 7.5 comorbidities on avg., 81% hypertension; 60% peripheral vascular disorders; 59% renal failure, 47% arrhythmias, 43% diabetes, 42% COPD.
• 6 geographical regions in Southern CA.
• Beneficiaries of HealthCare Partners' Medicare Advantage (95%) and commercial HMOs (5%) with no copays for home visits or necessary medical services.</t>
  </si>
  <si>
    <t>• 62.5% female; mean age 52.6 yrs.; 97.8% Af.Am.
• Adults aged ≥18 years residing in high-poverty zip codes in Philadelphia, PA who are uninsured or publicly insured and had a Dx for ≥2 targeted chronic diseases (diabetes, obesity, tobacco dependence, hypertension), one of which is poorly controlled.
• VA PCP, FQHC, and academic family practice clinic; all using IMPaCT model (Individualized Management for Patient-Centered Targets).</t>
  </si>
  <si>
    <t>• Mean age of 75 yrs; 50% Men; 45% Black; 49% &gt;=high school; 42%&lt;$10,000/yr.; 11% Medicaid.
• Adults aged ≥65 years admitted from home to hospital between 1992-1996 for 1 selected condition and who met ≥1 criteria for poor post-discharge outcomes.
• Two UPenn Health System hospitals.</t>
  </si>
  <si>
    <t>● Avg. age 58yrs., 65% non-white, 60% female.
● 68 Patients that had visited the ED more than 2 times in 1 month, had at least 1 chronic disease, and consented to join the program. 
● Abbeville County, South Carolina Community Paramedicine Program, 2014-2015</t>
  </si>
  <si>
    <t>● Median age 44 yrs., 58% African-American, 55% Female
● Those who called 911 but did not necessarily require immediate transport to a hospital Emergency Department 
● Houston, TX EMS 2014</t>
  </si>
  <si>
    <t>Langabeer JR, Champagne-Langabeer T, Alqusairi D, et al. Cost-Benefit Analysis of Telehealth in Pre-Hospital Care. Journal of Telemedicine and Telecare. 2017;23(8): 747-751</t>
  </si>
  <si>
    <t>Coleman EA, Parry C, Chalmers S, Min S. The Care Transitions Intervention. Arch Intern Med. 2006;166: 1822-1828</t>
  </si>
  <si>
    <t>Bennet KJ, Yuen MW, Merrell MA. Community Paramedicine Applied in a Rural Community. The Journal of Rural Health. 2018;34: s39-s47.</t>
  </si>
  <si>
    <t xml:space="preserve">Total VA + Medicare cost reduction
</t>
  </si>
  <si>
    <t>Savings based on…</t>
  </si>
  <si>
    <t>Treatment population</t>
  </si>
  <si>
    <t>User Interpretation Notes</t>
  </si>
  <si>
    <t>Hours per month spent on program</t>
  </si>
  <si>
    <t>Needs to add to 100%</t>
  </si>
  <si>
    <t>Langabeer et al, 2017</t>
  </si>
  <si>
    <t>Bennett et al, 2018</t>
  </si>
  <si>
    <t xml:space="preserve">• Results shown annualized amount based on 12 months of data.  </t>
  </si>
  <si>
    <t xml:space="preserve">• Patients were enrolled an average of 355.3 days at time of analysis
• Results annualized by study based on 15 months of visits
</t>
  </si>
  <si>
    <t>Note: If you are only calculating offsets for a Paramed program, you will need to enter 0 and select "use" for the choose your own value row (row 23) on the HBPC offsets tab.</t>
  </si>
  <si>
    <t>Reimbursement per mile ($)</t>
  </si>
  <si>
    <t>Other (please label if entering an amount)</t>
  </si>
  <si>
    <t>Savings per patient per year (2020 $)</t>
  </si>
  <si>
    <t>• 4 of 6 components: care coordination, pt or caregiver education; referrals to home &amp; comm. based services; environmental assess/redesign.
• 10 home visits over a 5-month period.
• Focused on beneficiary-directed functional improvements tied to the home environment, aim of delaying entry to SNFs.
• Assess pts' functional difficulties, pain, depression, &amp; home environment; provide referrals to home and community-based services and home modifications that allow seniors to age in place.
• Providers: RNs; occupational therapists; handymen.</t>
  </si>
  <si>
    <t>Follow the blue prompts to input assumptions in light green boxes. The gray boxes include formulas that contain calculations based on values in the green boxes.</t>
  </si>
  <si>
    <t>Costs &amp; Revenue</t>
  </si>
  <si>
    <r>
      <t>Paramed offsets</t>
    </r>
    <r>
      <rPr>
        <sz val="11"/>
        <color theme="1"/>
        <rFont val="Calibri"/>
        <family val="2"/>
        <scheme val="minor"/>
      </rPr>
      <t xml:space="preserve"> – The Paramedicine offsets tab is designed to add savings if your program includes a paramedicine component. Note, if you select cost savings on this tab, it will be added to your savings estimate from the ‘HBPC offsets’ tab.</t>
    </r>
  </si>
  <si>
    <r>
      <t>Shared Savings</t>
    </r>
    <r>
      <rPr>
        <sz val="11"/>
        <color theme="1"/>
        <rFont val="Calibri"/>
        <family val="2"/>
        <scheme val="minor"/>
      </rPr>
      <t xml:space="preserve"> – This tab is designed to capture the impact of your program on shared savings within the ACO. You will need to enter your shared savings rate and estimate your chances of earning shared savings.</t>
    </r>
  </si>
  <si>
    <r>
      <t>Cost and Revenue</t>
    </r>
    <r>
      <rPr>
        <sz val="11"/>
        <color theme="1"/>
        <rFont val="Calibri"/>
        <family val="2"/>
        <scheme val="minor"/>
      </rPr>
      <t xml:space="preserve"> – This tab is designed to collect information on the costs of operating your home visit program. Specifically, you will need to enter information about program participants, staffing, travel, and other direct expenses. We also provide a place for overhead if that is relevant. There is also a section on this tab to enter information on reimbursement for clinical work. This information is important to help determine return-on-investment (ROI).</t>
    </r>
  </si>
  <si>
    <t>Values from other tabs will automatically populate here for summary results.</t>
  </si>
  <si>
    <t>Blue = Unique estimate of program savings. Enter zero here and proceed to "Paramed offsets" tab if exploring a paramed program only.</t>
  </si>
  <si>
    <t>Red = Multiple studies selected. Review column A and delete extra instances of "Use."</t>
  </si>
  <si>
    <t>Green = Blended programs.</t>
  </si>
  <si>
    <t>Peach = HBPC models.</t>
  </si>
  <si>
    <t>ROI inputs (costs and revenue)</t>
  </si>
  <si>
    <t>Shared savings calculations</t>
  </si>
  <si>
    <t>(10) Shared savings</t>
  </si>
  <si>
    <t>Offsets forwarded from previous tabs. If you wish to enter your own values, please do so in row 23 on the HBPC offsets tab and/or row 6 on the Paramed offsets tab and select "Use" from the dropdown menu in column A.</t>
  </si>
  <si>
    <t>(1) Target population</t>
  </si>
  <si>
    <t>(3) Clinical staff</t>
  </si>
  <si>
    <t># of staff traveling</t>
  </si>
  <si>
    <t>Total travel spending</t>
  </si>
  <si>
    <t>(6) Other visit-related (variable) costs</t>
  </si>
  <si>
    <t>Medical equipment</t>
  </si>
  <si>
    <t>Include any overhead costs allocated to the administration of this program. Be sure not to duplicate costs already accounted for in other sections, e.g., (4) administrative staff and (7) other.</t>
  </si>
  <si>
    <t>Guidance</t>
  </si>
  <si>
    <r>
      <t>HBPC offsets</t>
    </r>
    <r>
      <rPr>
        <sz val="11"/>
        <color theme="1"/>
        <rFont val="Calibri"/>
        <family val="2"/>
        <scheme val="minor"/>
      </rPr>
      <t xml:space="preserve"> – This tab shows literature-based cost savings for a spectrum of different types of home visit programs: home-based primary care (HBPC), care-transition only, and blended. Use this tab to determine the savings you expect per participant in your model. There are three choices: 1. Choose an average savings estimate for a group of studies; 2. Choose savings from a single study that looks similar to your program; or 3. Enter your own savings estimate.</t>
    </r>
  </si>
  <si>
    <r>
      <t>Extra C&amp;B</t>
    </r>
    <r>
      <rPr>
        <sz val="11"/>
        <color theme="1"/>
        <rFont val="Calibri"/>
        <family val="2"/>
        <scheme val="minor"/>
      </rPr>
      <t xml:space="preserve"> – This tab provides a place to add indirect and external costs and benefits associated with your program, e.g., opportunity costs of having staff on the road versus in the office, the value of provider satisfaction with practicing patient-centered medicine, patient out-of-pocket costs, and improvements in patient &amp; caregiver quality of life. This tab factors exclusively into the benefit-cost ratio, so no need to add information on this tab if the primary focus is return on investment.</t>
    </r>
  </si>
  <si>
    <r>
      <t>Results</t>
    </r>
    <r>
      <rPr>
        <sz val="11"/>
        <color theme="1"/>
        <rFont val="Calibri"/>
        <family val="2"/>
        <scheme val="minor"/>
      </rPr>
      <t xml:space="preserve"> – This tab presents various results summaries that are automatically generated from the inputs in the other tabs. Results include both a return-on-investment (ROI) estimate and a benefit-cost ratio.</t>
    </r>
  </si>
  <si>
    <r>
      <t xml:space="preserve">There are a few important things to note – </t>
    </r>
    <r>
      <rPr>
        <sz val="11"/>
        <color theme="1"/>
        <rFont val="Calibri"/>
        <family val="2"/>
        <scheme val="minor"/>
      </rPr>
      <t>First, there are many embedded formulas in the workbook. In general, please only enter information in the designated cells to avoid deleting any links or formulas. Use the "save as" function to save under a new name each time you make a key assumption. Second, when selecting an offset, you may want to start with a program average and then switch to more specific savings estimates as you get more familiar with the tool. Finally, please use this tool to test different assumptions and scenarios. ROI and CB analysis is as much an art as a science, so it is often a good idea to find a range of possible savings given different inputs.</t>
    </r>
  </si>
  <si>
    <t>Return on investment tool for home-based visit interventions, 2021</t>
  </si>
  <si>
    <t>Additional costs</t>
  </si>
  <si>
    <t>Additional benefits</t>
  </si>
  <si>
    <t>Total extra costs</t>
  </si>
  <si>
    <t>Total extra benefits</t>
  </si>
  <si>
    <t>Inflation reference tab</t>
  </si>
  <si>
    <t>These values were used in the offsets tabs to inflation adjust savings extracted from the various studies (starting year of data cited).</t>
  </si>
  <si>
    <r>
      <t>By provider type - enter in the average</t>
    </r>
    <r>
      <rPr>
        <b/>
        <i/>
        <sz val="12"/>
        <color theme="8" tint="-0.249977111117893"/>
        <rFont val="Calibri"/>
        <family val="2"/>
        <scheme val="minor"/>
      </rPr>
      <t xml:space="preserve"> reimbursement</t>
    </r>
    <r>
      <rPr>
        <i/>
        <sz val="12"/>
        <color theme="8" tint="-0.249977111117893"/>
        <rFont val="Calibri"/>
        <family val="2"/>
        <scheme val="minor"/>
      </rPr>
      <t xml:space="preserve"> amount per home visit, the % of all visits expected to receive reimbursement, and % of visits conducted. </t>
    </r>
  </si>
  <si>
    <t>Baseline ED visits not resulting in an admission per patient/year</t>
  </si>
  <si>
    <t>If you chose offsets from a study that only reported on reduced hospitalizations (i.e., Schamess, Edwards, Chang, Mattke, or Kangovi et al.) and wish to add cost savings related to reduced ED use, enter in participants' baseline ED visit rate, ED visit cost, and the estimated reduction in ED visits as a result of your program.</t>
  </si>
  <si>
    <t>Investment-side</t>
  </si>
  <si>
    <t>Return-side</t>
  </si>
  <si>
    <t>New total costs</t>
  </si>
  <si>
    <t>New total benefits</t>
  </si>
  <si>
    <t>Program return on investment</t>
  </si>
  <si>
    <t>Program benefit-cost ratio calculation</t>
  </si>
  <si>
    <t>Benefit-cost ratio:</t>
  </si>
  <si>
    <t>Optional</t>
  </si>
  <si>
    <t>Myers LA, Carlson PN, Krantz PW, et al. Development and Implementation of a Community Paramedicine Program in Rural United States. Western Journal of Emergency Medicine. 2020;21(5): 1227-1233</t>
  </si>
  <si>
    <t>Gingold DB, Liang Y, Stryckman B, Marcozzi D. The Effect of a Mobile Integrated Health Program on Health Care Cost and Utilization. Health Serv Res. 2021;1-10</t>
  </si>
  <si>
    <t>Range of Savings across HBPC programs</t>
  </si>
  <si>
    <t>Savings Estimates for Home-Based Primary Care and Care Transitions Programs</t>
  </si>
  <si>
    <t>Instructions:</t>
  </si>
  <si>
    <t>3.  These studies vary in the number and characteristics of enrolled patients, specific interventions and quality of the analysis.</t>
  </si>
  <si>
    <t>4. You should consider using savings estimates based on studies of programs similar to those you are planning and with similar target patient populations.</t>
  </si>
  <si>
    <t>Number of Studies</t>
  </si>
  <si>
    <t>Number of Patients</t>
  </si>
  <si>
    <t>Mean Savings</t>
  </si>
  <si>
    <t>Max Savings</t>
  </si>
  <si>
    <t>Study Details</t>
  </si>
  <si>
    <t>Range of Savings across four blended programs (these are programs with elements of HBPC, but either only last for a short time or lack the regularity of visits that programs in the above have)</t>
  </si>
  <si>
    <t>Average across three transitional care programs (These are programs specifically for those in the month or so after a hospital discharge)</t>
  </si>
  <si>
    <t>1. On this sheet, you must enter an expected level of savings per patient resulting from the program in cell B9</t>
  </si>
  <si>
    <t>Type of Program</t>
  </si>
  <si>
    <t>Minimum Savings</t>
  </si>
  <si>
    <t>Hughes SL et al, 2000.</t>
  </si>
  <si>
    <t>Edes et al, 2014</t>
  </si>
  <si>
    <t>De Jonge et al, 2014</t>
  </si>
  <si>
    <t>Edwards ST et al, 2014</t>
  </si>
  <si>
    <t>Stanhope et al, 2018</t>
  </si>
  <si>
    <t>Schamess et al, 2016</t>
  </si>
  <si>
    <t>Chang C et al, 2009</t>
  </si>
  <si>
    <t>North L et al, 2008</t>
  </si>
  <si>
    <t>Ruiz et al, 2017</t>
  </si>
  <si>
    <t>Roeper et al, 2018</t>
  </si>
  <si>
    <t>Mattke S et al, 2015</t>
  </si>
  <si>
    <t>Melnick et al, 2016</t>
  </si>
  <si>
    <t>Kangovi et al, 2018</t>
  </si>
  <si>
    <t>Naylor et al, 1999</t>
  </si>
  <si>
    <t>Coleman et al, 2006</t>
  </si>
  <si>
    <t>HBPC</t>
  </si>
  <si>
    <t>Blended Programs</t>
  </si>
  <si>
    <t>Care Transition</t>
  </si>
  <si>
    <t>Summary of Savings Estimates for the Literature</t>
  </si>
  <si>
    <t>Maximum Savings</t>
  </si>
  <si>
    <t xml:space="preserve">2. Below, we summarize twelve published studies from the peer-reviewed literature with estimated savings per program participant. </t>
  </si>
  <si>
    <t>5.  We provide a high level summary by program type below and summarize the individual studies with links to the study abstracts.</t>
  </si>
  <si>
    <t>Additional Studies of Lower Quality That Are Not Included in the Summary Above</t>
  </si>
  <si>
    <t>Savings Estimates based on Utilization Reductions in Community Paramedicine Programs.</t>
  </si>
  <si>
    <t>'Summary of Savings Estimates for the Literature</t>
  </si>
  <si>
    <t>Instructions</t>
  </si>
  <si>
    <t>Review the study populations and services provided below. Select your desired program savings amount based on the best match to your program and enter it in Cell B5. If you have both a Paramedicine and HBPC progam, the amount will be added to the savings calculations in the  HBPC savings tab. (Note: If you are only calculating savings for a Paramed program, then please enter "0" in Cell B9 of the HBPC savings tab).</t>
  </si>
  <si>
    <t>Range of Savings across Community Paramedic programs</t>
  </si>
  <si>
    <t>Enter your desired per-member savings estimate for the ROI calculation in the box to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</si>
</sst>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_(* #,##0.000_);_(* \(#,##0.000\);_(* &quot;-&quot;??_);_(@_)"/>
    <numFmt numFmtId="168" formatCode="_(* #,##0.0000_);_(* \(#,##0.0000\);_(* &quot;-&quot;??_);_(@_)"/>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i/>
      <sz val="12"/>
      <color theme="1"/>
      <name val="Calibri"/>
      <family val="2"/>
      <scheme val="minor"/>
    </font>
    <font>
      <b/>
      <sz val="12"/>
      <color theme="1"/>
      <name val="Calibri"/>
      <family val="2"/>
      <scheme val="minor"/>
    </font>
    <font>
      <i/>
      <sz val="12"/>
      <color theme="8" tint="-0.249977111117893"/>
      <name val="Calibri"/>
      <family val="2"/>
      <scheme val="minor"/>
    </font>
    <font>
      <sz val="12"/>
      <color rgb="FF00000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2"/>
      <name val="Calibri"/>
      <family val="2"/>
      <scheme val="minor"/>
    </font>
    <font>
      <sz val="10"/>
      <name val="Arial"/>
      <family val="2"/>
    </font>
    <font>
      <u/>
      <sz val="10"/>
      <color indexed="12"/>
      <name val="Arial"/>
      <family val="2"/>
    </font>
    <font>
      <sz val="10"/>
      <name val="Arial"/>
      <family val="2"/>
    </font>
    <font>
      <b/>
      <sz val="12"/>
      <name val="Times New Roman"/>
      <family val="1"/>
    </font>
    <font>
      <sz val="11"/>
      <name val="Calibri"/>
      <family val="2"/>
      <scheme val="minor"/>
    </font>
    <font>
      <sz val="11"/>
      <color rgb="FF000000"/>
      <name val="Calibri"/>
      <family val="2"/>
      <scheme val="minor"/>
    </font>
    <font>
      <sz val="11"/>
      <color theme="1"/>
      <name val="Calibri"/>
      <family val="2"/>
    </font>
    <font>
      <b/>
      <i/>
      <sz val="12"/>
      <color theme="8" tint="-0.249977111117893"/>
      <name val="Calibri"/>
      <family val="2"/>
      <scheme val="minor"/>
    </font>
    <font>
      <sz val="12"/>
      <color rgb="FFFF0000"/>
      <name val="Calibri"/>
      <family val="2"/>
      <scheme val="minor"/>
    </font>
    <font>
      <i/>
      <sz val="14"/>
      <color theme="8" tint="-0.249977111117893"/>
      <name val="Calibri"/>
      <family val="2"/>
      <scheme val="minor"/>
    </font>
    <font>
      <b/>
      <i/>
      <sz val="14"/>
      <color theme="8" tint="-0.249977111117893"/>
      <name val="Calibri"/>
      <family val="2"/>
      <scheme val="minor"/>
    </font>
    <font>
      <i/>
      <sz val="12"/>
      <name val="Calibri"/>
      <family val="2"/>
      <scheme val="minor"/>
    </font>
    <font>
      <b/>
      <sz val="14"/>
      <name val="Calibri"/>
      <family val="2"/>
      <scheme val="minor"/>
    </font>
    <font>
      <b/>
      <sz val="16"/>
      <name val="Calibri"/>
      <family val="2"/>
      <scheme val="minor"/>
    </font>
    <font>
      <b/>
      <i/>
      <sz val="14"/>
      <color theme="1"/>
      <name val="Calibri"/>
      <family val="2"/>
      <scheme val="minor"/>
    </font>
    <font>
      <sz val="14"/>
      <color theme="1"/>
      <name val="Calibri"/>
      <family val="2"/>
      <scheme val="minor"/>
    </font>
    <font>
      <sz val="20"/>
      <color theme="0"/>
      <name val="Calibri"/>
      <family val="2"/>
      <scheme val="minor"/>
    </font>
    <font>
      <sz val="20"/>
      <color theme="1"/>
      <name val="Calibri"/>
      <family val="2"/>
      <scheme val="minor"/>
    </font>
    <font>
      <b/>
      <sz val="18"/>
      <color theme="1"/>
      <name val="Calibri"/>
      <family val="2"/>
      <scheme val="minor"/>
    </font>
    <font>
      <sz val="16"/>
      <color theme="1"/>
      <name val="Calibri"/>
      <family val="2"/>
      <scheme val="minor"/>
    </font>
    <font>
      <b/>
      <sz val="20"/>
      <color theme="1"/>
      <name val="Calibri"/>
      <family val="2"/>
      <scheme val="minor"/>
    </font>
    <font>
      <sz val="8"/>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rgb="FF00000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4" tint="-0.49998474074526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s>
  <cellStyleXfs count="28">
    <xf numFmtId="0" fontId="0" fillId="0" borderId="0"/>
    <xf numFmtId="43" fontId="8" fillId="0" borderId="0" applyFont="0" applyFill="0" applyBorder="0" applyAlignment="0" applyProtection="0"/>
    <xf numFmtId="9" fontId="8" fillId="0" borderId="0" applyFont="0" applyFill="0" applyBorder="0" applyAlignment="0" applyProtection="0"/>
    <xf numFmtId="0" fontId="16" fillId="0" borderId="0" applyNumberForma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4" fontId="8"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248">
    <xf numFmtId="0" fontId="0" fillId="0" borderId="0" xfId="0"/>
    <xf numFmtId="0" fontId="9" fillId="0" borderId="0" xfId="0" applyFont="1"/>
    <xf numFmtId="0" fontId="10" fillId="0" borderId="0" xfId="0" applyFont="1"/>
    <xf numFmtId="0" fontId="11" fillId="0" borderId="0" xfId="0" applyFont="1"/>
    <xf numFmtId="0" fontId="0" fillId="0" borderId="1" xfId="0" applyBorder="1"/>
    <xf numFmtId="0" fontId="12" fillId="0" borderId="2" xfId="0" applyFont="1" applyBorder="1"/>
    <xf numFmtId="0" fontId="0" fillId="0" borderId="2" xfId="0" applyBorder="1"/>
    <xf numFmtId="0" fontId="0" fillId="0" borderId="3" xfId="0" applyBorder="1"/>
    <xf numFmtId="0" fontId="0" fillId="0" borderId="4" xfId="0" applyBorder="1"/>
    <xf numFmtId="0" fontId="0" fillId="0" borderId="0" xfId="0" applyAlignment="1">
      <alignment horizontal="center"/>
    </xf>
    <xf numFmtId="0" fontId="13" fillId="0" borderId="0" xfId="0" applyFont="1" applyAlignment="1">
      <alignment horizontal="left" indent="1"/>
    </xf>
    <xf numFmtId="0" fontId="12" fillId="0" borderId="0" xfId="0" applyFont="1"/>
    <xf numFmtId="0" fontId="0" fillId="0" borderId="5" xfId="0" applyBorder="1"/>
    <xf numFmtId="0" fontId="0" fillId="0" borderId="0" xfId="0" applyAlignment="1">
      <alignment horizontal="right"/>
    </xf>
    <xf numFmtId="0" fontId="12" fillId="0" borderId="0" xfId="0" applyFont="1" applyAlignment="1">
      <alignment horizontal="right"/>
    </xf>
    <xf numFmtId="1" fontId="0" fillId="0" borderId="0" xfId="0" applyNumberFormat="1"/>
    <xf numFmtId="9" fontId="0" fillId="0" borderId="0" xfId="2" applyFont="1" applyBorder="1"/>
    <xf numFmtId="164" fontId="0" fillId="0" borderId="0" xfId="0" applyNumberFormat="1"/>
    <xf numFmtId="165" fontId="0" fillId="0" borderId="0" xfId="2" applyNumberFormat="1" applyFont="1" applyFill="1" applyBorder="1"/>
    <xf numFmtId="9" fontId="0" fillId="0" borderId="0" xfId="0" applyNumberFormat="1"/>
    <xf numFmtId="168" fontId="0" fillId="0" borderId="0" xfId="0" applyNumberFormat="1"/>
    <xf numFmtId="9" fontId="0" fillId="0" borderId="0" xfId="2" applyFont="1" applyFill="1" applyBorder="1"/>
    <xf numFmtId="0" fontId="13" fillId="0" borderId="0" xfId="0" applyFont="1" applyAlignment="1">
      <alignment horizontal="left" wrapText="1"/>
    </xf>
    <xf numFmtId="0" fontId="0" fillId="0" borderId="0" xfId="0" applyBorder="1" applyAlignment="1">
      <alignment horizontal="right"/>
    </xf>
    <xf numFmtId="0" fontId="0" fillId="0" borderId="0" xfId="0" applyBorder="1"/>
    <xf numFmtId="0" fontId="12" fillId="0" borderId="0" xfId="0" applyFont="1" applyBorder="1"/>
    <xf numFmtId="1" fontId="0" fillId="0" borderId="0" xfId="0" applyNumberFormat="1" applyBorder="1"/>
    <xf numFmtId="0" fontId="0" fillId="0" borderId="0" xfId="0" applyFill="1" applyBorder="1" applyAlignment="1">
      <alignment horizontal="right"/>
    </xf>
    <xf numFmtId="0" fontId="0" fillId="0" borderId="0" xfId="0" applyFill="1" applyAlignment="1">
      <alignment horizontal="right"/>
    </xf>
    <xf numFmtId="165" fontId="0" fillId="0" borderId="0" xfId="0" applyNumberFormat="1" applyFill="1" applyBorder="1"/>
    <xf numFmtId="43" fontId="0" fillId="0" borderId="0" xfId="1" applyFont="1" applyFill="1" applyBorder="1"/>
    <xf numFmtId="0" fontId="0" fillId="0" borderId="0" xfId="2" applyNumberFormat="1" applyFont="1" applyFill="1" applyBorder="1"/>
    <xf numFmtId="164" fontId="0" fillId="0" borderId="0" xfId="2" applyNumberFormat="1" applyFont="1" applyFill="1" applyBorder="1"/>
    <xf numFmtId="2" fontId="0" fillId="0" borderId="0" xfId="0" applyNumberFormat="1"/>
    <xf numFmtId="0" fontId="16" fillId="0" borderId="0" xfId="3" applyAlignment="1">
      <alignment vertical="center"/>
    </xf>
    <xf numFmtId="0" fontId="17" fillId="0" borderId="0" xfId="0" applyFont="1"/>
    <xf numFmtId="0" fontId="17" fillId="0" borderId="0" xfId="0" applyFont="1" applyAlignment="1">
      <alignment vertical="top" wrapText="1"/>
    </xf>
    <xf numFmtId="0" fontId="0" fillId="0" borderId="0" xfId="0" applyAlignment="1">
      <alignment wrapText="1"/>
    </xf>
    <xf numFmtId="0" fontId="17" fillId="0" borderId="0" xfId="0" applyFont="1" applyAlignment="1">
      <alignment wrapText="1"/>
    </xf>
    <xf numFmtId="165" fontId="0" fillId="0" borderId="0" xfId="0" applyNumberFormat="1"/>
    <xf numFmtId="0" fontId="18" fillId="0" borderId="0" xfId="0" applyFont="1" applyAlignment="1">
      <alignment vertical="center"/>
    </xf>
    <xf numFmtId="0" fontId="18" fillId="0" borderId="0" xfId="0" applyFont="1"/>
    <xf numFmtId="0" fontId="12" fillId="0" borderId="0" xfId="0" applyFont="1" applyAlignment="1">
      <alignment wrapText="1"/>
    </xf>
    <xf numFmtId="0" fontId="0" fillId="0" borderId="0" xfId="0" applyFill="1"/>
    <xf numFmtId="164" fontId="14" fillId="0" borderId="0" xfId="0" applyNumberFormat="1" applyFont="1" applyFill="1" applyBorder="1"/>
    <xf numFmtId="0" fontId="0" fillId="0" borderId="0" xfId="0" applyFill="1" applyBorder="1"/>
    <xf numFmtId="0" fontId="16" fillId="0" borderId="0" xfId="3"/>
    <xf numFmtId="164" fontId="0" fillId="0" borderId="0" xfId="0" applyNumberFormat="1" applyFill="1"/>
    <xf numFmtId="0" fontId="15" fillId="0" borderId="0" xfId="0" applyFont="1"/>
    <xf numFmtId="0" fontId="15" fillId="0" borderId="0" xfId="0" applyFont="1" applyAlignment="1">
      <alignment horizontal="right" wrapText="1"/>
    </xf>
    <xf numFmtId="0" fontId="7" fillId="0" borderId="0" xfId="0" applyFont="1"/>
    <xf numFmtId="0" fontId="7" fillId="0" borderId="0" xfId="0" applyFont="1" applyAlignment="1">
      <alignment vertical="top" wrapText="1"/>
    </xf>
    <xf numFmtId="0" fontId="7" fillId="0" borderId="0" xfId="0" applyFont="1" applyAlignment="1">
      <alignment wrapText="1"/>
    </xf>
    <xf numFmtId="0" fontId="0" fillId="0" borderId="0" xfId="0" applyAlignment="1">
      <alignment vertical="top"/>
    </xf>
    <xf numFmtId="0" fontId="7" fillId="0" borderId="0" xfId="0" applyFont="1" applyBorder="1" applyAlignment="1">
      <alignment vertical="top" wrapText="1"/>
    </xf>
    <xf numFmtId="0" fontId="12" fillId="0" borderId="2" xfId="0" applyFont="1" applyBorder="1" applyAlignment="1">
      <alignment wrapText="1"/>
    </xf>
    <xf numFmtId="0" fontId="18" fillId="5" borderId="0" xfId="0" applyFont="1" applyFill="1" applyAlignment="1"/>
    <xf numFmtId="164" fontId="0" fillId="0" borderId="6" xfId="0" applyNumberFormat="1" applyFill="1" applyBorder="1"/>
    <xf numFmtId="0" fontId="6" fillId="0" borderId="0" xfId="0" applyFont="1"/>
    <xf numFmtId="0" fontId="0" fillId="3" borderId="6" xfId="0" applyFill="1" applyBorder="1"/>
    <xf numFmtId="0" fontId="0" fillId="0" borderId="0" xfId="0" applyAlignment="1">
      <alignment horizontal="right" wrapText="1"/>
    </xf>
    <xf numFmtId="0" fontId="0" fillId="0" borderId="0" xfId="0" applyAlignment="1">
      <alignment horizontal="center" wrapText="1"/>
    </xf>
    <xf numFmtId="0" fontId="0" fillId="0" borderId="0" xfId="0" applyBorder="1" applyAlignment="1">
      <alignment horizontal="center" wrapText="1"/>
    </xf>
    <xf numFmtId="9" fontId="0" fillId="3" borderId="6" xfId="2" applyFont="1" applyFill="1" applyBorder="1"/>
    <xf numFmtId="0" fontId="0" fillId="0" borderId="0" xfId="0" applyFill="1" applyBorder="1" applyAlignment="1">
      <alignment horizontal="left"/>
    </xf>
    <xf numFmtId="0" fontId="13" fillId="0" borderId="0" xfId="0" applyFont="1" applyAlignment="1">
      <alignment wrapText="1"/>
    </xf>
    <xf numFmtId="165" fontId="0" fillId="3" borderId="6" xfId="2" applyNumberFormat="1" applyFont="1" applyFill="1" applyBorder="1"/>
    <xf numFmtId="0" fontId="5" fillId="0" borderId="0" xfId="0" applyFont="1"/>
    <xf numFmtId="0" fontId="0" fillId="0" borderId="2" xfId="0" applyBorder="1" applyAlignment="1">
      <alignment horizontal="right"/>
    </xf>
    <xf numFmtId="165" fontId="0" fillId="0" borderId="0" xfId="0" applyNumberFormat="1" applyBorder="1"/>
    <xf numFmtId="165" fontId="0" fillId="3" borderId="6" xfId="0" applyNumberFormat="1" applyFill="1" applyBorder="1"/>
    <xf numFmtId="165" fontId="0" fillId="3" borderId="10" xfId="2" applyNumberFormat="1" applyFont="1" applyFill="1" applyBorder="1"/>
    <xf numFmtId="0" fontId="0" fillId="5" borderId="0" xfId="0" applyFill="1"/>
    <xf numFmtId="0" fontId="22" fillId="0" borderId="13" xfId="24" applyFont="1" applyBorder="1"/>
    <xf numFmtId="0" fontId="22" fillId="0" borderId="13" xfId="24" applyFont="1" applyBorder="1" applyAlignment="1">
      <alignment horizontal="center"/>
    </xf>
    <xf numFmtId="0" fontId="0" fillId="4" borderId="0" xfId="0" applyFill="1"/>
    <xf numFmtId="0" fontId="15" fillId="0" borderId="0" xfId="0" applyFont="1" applyAlignment="1">
      <alignment horizontal="right"/>
    </xf>
    <xf numFmtId="0" fontId="15" fillId="0" borderId="0" xfId="0" applyFont="1" applyFill="1" applyBorder="1" applyAlignment="1">
      <alignment horizontal="right"/>
    </xf>
    <xf numFmtId="0" fontId="12" fillId="0" borderId="0" xfId="0" applyFont="1" applyFill="1" applyBorder="1" applyAlignment="1">
      <alignment horizontal="left"/>
    </xf>
    <xf numFmtId="0" fontId="0" fillId="0" borderId="0" xfId="0" applyFont="1" applyAlignment="1">
      <alignment vertical="top" wrapText="1"/>
    </xf>
    <xf numFmtId="0" fontId="0" fillId="0" borderId="0" xfId="0" applyFont="1" applyAlignment="1">
      <alignment horizontal="center" vertical="top" wrapText="1"/>
    </xf>
    <xf numFmtId="165" fontId="15" fillId="0" borderId="0" xfId="0" applyNumberFormat="1" applyFont="1" applyFill="1" applyAlignment="1">
      <alignment vertical="top" wrapText="1"/>
    </xf>
    <xf numFmtId="0" fontId="0" fillId="0" borderId="0" xfId="0" applyFont="1"/>
    <xf numFmtId="0" fontId="13" fillId="0" borderId="0" xfId="0" applyFont="1" applyFill="1" applyBorder="1" applyAlignment="1">
      <alignment horizontal="left"/>
    </xf>
    <xf numFmtId="0" fontId="0" fillId="0" borderId="0" xfId="0" applyFont="1" applyAlignment="1">
      <alignment horizontal="right"/>
    </xf>
    <xf numFmtId="0" fontId="0" fillId="0" borderId="0" xfId="0" applyFont="1" applyAlignment="1">
      <alignment horizontal="right" wrapText="1"/>
    </xf>
    <xf numFmtId="0" fontId="15" fillId="0" borderId="0" xfId="0" applyFont="1" applyBorder="1" applyAlignment="1">
      <alignment horizontal="right"/>
    </xf>
    <xf numFmtId="0" fontId="15" fillId="0" borderId="2" xfId="0" applyFont="1" applyBorder="1" applyAlignment="1">
      <alignment horizontal="right"/>
    </xf>
    <xf numFmtId="0" fontId="22" fillId="0" borderId="13" xfId="24" applyFont="1" applyBorder="1" applyAlignment="1">
      <alignment horizontal="left"/>
    </xf>
    <xf numFmtId="165" fontId="15" fillId="0" borderId="0" xfId="0" applyNumberFormat="1" applyFont="1" applyAlignment="1">
      <alignment vertical="top" wrapText="1"/>
    </xf>
    <xf numFmtId="0" fontId="4" fillId="0" borderId="0" xfId="0" applyFont="1"/>
    <xf numFmtId="0" fontId="0" fillId="0" borderId="0" xfId="0" applyFill="1" applyBorder="1" applyAlignment="1">
      <alignment horizontal="center" wrapText="1"/>
    </xf>
    <xf numFmtId="9" fontId="0" fillId="2" borderId="6" xfId="2" applyFont="1" applyFill="1" applyBorder="1"/>
    <xf numFmtId="0" fontId="3" fillId="0" borderId="0" xfId="0" applyFont="1"/>
    <xf numFmtId="0" fontId="27" fillId="0" borderId="0" xfId="0" applyFont="1" applyFill="1"/>
    <xf numFmtId="165" fontId="0" fillId="2" borderId="6" xfId="1" applyNumberFormat="1" applyFont="1" applyFill="1" applyBorder="1"/>
    <xf numFmtId="164" fontId="0" fillId="3" borderId="10" xfId="2" applyNumberFormat="1" applyFont="1" applyFill="1" applyBorder="1"/>
    <xf numFmtId="165" fontId="0" fillId="2" borderId="10" xfId="2" applyNumberFormat="1" applyFont="1" applyFill="1" applyBorder="1"/>
    <xf numFmtId="43" fontId="0" fillId="3" borderId="6" xfId="1" applyFont="1" applyFill="1" applyBorder="1"/>
    <xf numFmtId="0" fontId="0" fillId="3" borderId="6" xfId="2" applyNumberFormat="1" applyFont="1" applyFill="1" applyBorder="1"/>
    <xf numFmtId="1" fontId="0" fillId="3" borderId="6" xfId="0" applyNumberFormat="1" applyFill="1" applyBorder="1"/>
    <xf numFmtId="166" fontId="0" fillId="2" borderId="6" xfId="0" applyNumberFormat="1" applyFill="1" applyBorder="1"/>
    <xf numFmtId="165" fontId="0" fillId="2" borderId="6" xfId="0" applyNumberFormat="1" applyFill="1" applyBorder="1"/>
    <xf numFmtId="164" fontId="0" fillId="3" borderId="6" xfId="0" applyNumberFormat="1" applyFill="1" applyBorder="1"/>
    <xf numFmtId="164" fontId="0" fillId="3" borderId="11" xfId="0" applyNumberFormat="1" applyFill="1" applyBorder="1"/>
    <xf numFmtId="164" fontId="14" fillId="8" borderId="6" xfId="0" applyNumberFormat="1" applyFont="1" applyFill="1" applyBorder="1"/>
    <xf numFmtId="165" fontId="14" fillId="8" borderId="6" xfId="0" applyNumberFormat="1" applyFont="1" applyFill="1" applyBorder="1"/>
    <xf numFmtId="165" fontId="0" fillId="3" borderId="11" xfId="0" applyNumberFormat="1" applyFill="1" applyBorder="1"/>
    <xf numFmtId="0" fontId="0" fillId="2" borderId="6" xfId="0" applyFill="1" applyBorder="1"/>
    <xf numFmtId="167" fontId="0" fillId="3" borderId="6" xfId="1" applyNumberFormat="1" applyFont="1" applyFill="1" applyBorder="1"/>
    <xf numFmtId="166" fontId="0" fillId="2" borderId="6" xfId="1" applyNumberFormat="1" applyFont="1" applyFill="1" applyBorder="1"/>
    <xf numFmtId="165" fontId="0" fillId="2" borderId="6" xfId="2" applyNumberFormat="1" applyFont="1" applyFill="1" applyBorder="1"/>
    <xf numFmtId="165" fontId="0" fillId="6" borderId="0" xfId="0" applyNumberFormat="1" applyFill="1"/>
    <xf numFmtId="165" fontId="0" fillId="6" borderId="0" xfId="0" applyNumberFormat="1" applyFill="1" applyBorder="1"/>
    <xf numFmtId="165" fontId="0" fillId="6" borderId="2" xfId="0" applyNumberFormat="1" applyFill="1" applyBorder="1"/>
    <xf numFmtId="165" fontId="0" fillId="0" borderId="0" xfId="0" applyNumberFormat="1" applyFill="1"/>
    <xf numFmtId="165" fontId="0" fillId="0" borderId="2" xfId="0" applyNumberFormat="1" applyFill="1" applyBorder="1"/>
    <xf numFmtId="0" fontId="0" fillId="7" borderId="0" xfId="0" applyFill="1"/>
    <xf numFmtId="0" fontId="0" fillId="3" borderId="0" xfId="0" applyFill="1"/>
    <xf numFmtId="0" fontId="12" fillId="9" borderId="8" xfId="0" applyFont="1" applyFill="1" applyBorder="1" applyAlignment="1">
      <alignment horizontal="right"/>
    </xf>
    <xf numFmtId="2" fontId="12" fillId="9" borderId="9" xfId="2" applyNumberFormat="1" applyFont="1" applyFill="1" applyBorder="1"/>
    <xf numFmtId="9" fontId="12" fillId="9" borderId="9" xfId="2" applyNumberFormat="1" applyFont="1" applyFill="1" applyBorder="1"/>
    <xf numFmtId="0" fontId="0" fillId="0" borderId="7" xfId="0" applyBorder="1"/>
    <xf numFmtId="0" fontId="28" fillId="0" borderId="0" xfId="0" applyFont="1" applyAlignment="1">
      <alignment horizontal="left" indent="1"/>
    </xf>
    <xf numFmtId="0" fontId="10" fillId="0" borderId="0" xfId="0" applyFont="1" applyBorder="1" applyAlignment="1"/>
    <xf numFmtId="0" fontId="2" fillId="0" borderId="0" xfId="0" applyFont="1" applyFill="1" applyAlignment="1">
      <alignment wrapText="1"/>
    </xf>
    <xf numFmtId="0" fontId="29" fillId="0" borderId="0" xfId="0" applyFont="1"/>
    <xf numFmtId="0" fontId="2" fillId="3" borderId="0" xfId="0" applyFont="1" applyFill="1" applyAlignment="1"/>
    <xf numFmtId="0" fontId="2" fillId="6" borderId="0" xfId="0" applyFont="1" applyFill="1"/>
    <xf numFmtId="0" fontId="18" fillId="4" borderId="0" xfId="0" applyFont="1" applyFill="1"/>
    <xf numFmtId="0" fontId="13" fillId="0" borderId="0" xfId="0" applyFont="1" applyAlignment="1"/>
    <xf numFmtId="0" fontId="13" fillId="0" borderId="0" xfId="0" applyFont="1" applyFill="1" applyAlignment="1"/>
    <xf numFmtId="0" fontId="15" fillId="0" borderId="0" xfId="0" applyFont="1" applyAlignment="1">
      <alignment vertical="center" wrapText="1"/>
    </xf>
    <xf numFmtId="0" fontId="15" fillId="0" borderId="0" xfId="0" applyFont="1" applyAlignment="1">
      <alignment vertical="center"/>
    </xf>
    <xf numFmtId="0" fontId="31" fillId="0" borderId="0" xfId="0" applyFont="1"/>
    <xf numFmtId="0" fontId="28" fillId="0" borderId="0" xfId="0" applyFont="1" applyAlignment="1"/>
    <xf numFmtId="0" fontId="10" fillId="0" borderId="7" xfId="0" applyFont="1" applyBorder="1" applyAlignment="1"/>
    <xf numFmtId="0" fontId="30" fillId="0" borderId="0" xfId="0" applyFont="1" applyAlignment="1"/>
    <xf numFmtId="0" fontId="0" fillId="2" borderId="6" xfId="1" applyNumberFormat="1" applyFont="1" applyFill="1" applyBorder="1"/>
    <xf numFmtId="9" fontId="0" fillId="10" borderId="6" xfId="2" applyNumberFormat="1" applyFont="1" applyFill="1" applyBorder="1"/>
    <xf numFmtId="9" fontId="0" fillId="10" borderId="6" xfId="1" applyNumberFormat="1" applyFont="1" applyFill="1" applyBorder="1"/>
    <xf numFmtId="2" fontId="0" fillId="2" borderId="6" xfId="1" applyNumberFormat="1" applyFont="1" applyFill="1" applyBorder="1"/>
    <xf numFmtId="0" fontId="32" fillId="0" borderId="0" xfId="3" applyFont="1"/>
    <xf numFmtId="0" fontId="1" fillId="0" borderId="0" xfId="0" applyFont="1" applyFill="1" applyAlignment="1">
      <alignment wrapText="1"/>
    </xf>
    <xf numFmtId="0" fontId="1" fillId="0" borderId="0" xfId="0" applyFont="1" applyAlignment="1">
      <alignment wrapText="1"/>
    </xf>
    <xf numFmtId="0" fontId="3" fillId="0" borderId="0" xfId="0" applyFont="1" applyAlignment="1">
      <alignment wrapText="1"/>
    </xf>
    <xf numFmtId="0" fontId="29" fillId="0" borderId="0" xfId="0" applyFont="1" applyAlignment="1">
      <alignment horizontal="left" wrapText="1"/>
    </xf>
    <xf numFmtId="0" fontId="12" fillId="0" borderId="0" xfId="0" applyFont="1" applyBorder="1" applyAlignment="1">
      <alignment horizontal="right" wrapText="1"/>
    </xf>
    <xf numFmtId="0" fontId="15" fillId="0" borderId="0" xfId="0" applyFont="1" applyBorder="1" applyAlignment="1">
      <alignment horizontal="right" wrapText="1"/>
    </xf>
    <xf numFmtId="0" fontId="0" fillId="0" borderId="6" xfId="0" applyFont="1" applyBorder="1" applyAlignment="1">
      <alignment vertical="top" wrapText="1"/>
    </xf>
    <xf numFmtId="6" fontId="15" fillId="0" borderId="6" xfId="23" applyNumberFormat="1" applyFont="1" applyFill="1" applyBorder="1" applyAlignment="1">
      <alignment vertical="top" wrapText="1"/>
    </xf>
    <xf numFmtId="0" fontId="0" fillId="0" borderId="6" xfId="0" applyFont="1" applyBorder="1" applyAlignment="1">
      <alignment horizontal="center" vertical="top" wrapText="1"/>
    </xf>
    <xf numFmtId="0" fontId="0" fillId="0" borderId="6" xfId="0" quotePrefix="1" applyFont="1" applyBorder="1" applyAlignment="1">
      <alignment vertical="top" wrapText="1"/>
    </xf>
    <xf numFmtId="0" fontId="0" fillId="0" borderId="6" xfId="2" quotePrefix="1" applyNumberFormat="1" applyFont="1" applyBorder="1" applyAlignment="1">
      <alignment vertical="top" wrapText="1"/>
    </xf>
    <xf numFmtId="165" fontId="15" fillId="0" borderId="6" xfId="0" quotePrefix="1" applyNumberFormat="1" applyFont="1" applyFill="1" applyBorder="1" applyAlignment="1">
      <alignment vertical="top" wrapText="1"/>
    </xf>
    <xf numFmtId="0" fontId="23" fillId="0" borderId="6" xfId="0" quotePrefix="1" applyFont="1" applyBorder="1" applyAlignment="1">
      <alignment vertical="top" wrapText="1"/>
    </xf>
    <xf numFmtId="1" fontId="0" fillId="0" borderId="6" xfId="0" quotePrefix="1" applyNumberFormat="1" applyFont="1" applyBorder="1" applyAlignment="1">
      <alignment vertical="top" wrapText="1"/>
    </xf>
    <xf numFmtId="165" fontId="15" fillId="0" borderId="6" xfId="0" applyNumberFormat="1" applyFont="1" applyFill="1" applyBorder="1" applyAlignment="1">
      <alignment vertical="top" wrapText="1"/>
    </xf>
    <xf numFmtId="0" fontId="24" fillId="0" borderId="6" xfId="0" applyFont="1" applyBorder="1" applyAlignment="1">
      <alignment vertical="top" wrapText="1"/>
    </xf>
    <xf numFmtId="0" fontId="0" fillId="0" borderId="6" xfId="0" applyBorder="1" applyAlignment="1">
      <alignment vertical="top" wrapText="1"/>
    </xf>
    <xf numFmtId="0" fontId="25" fillId="0" borderId="6" xfId="0" applyFont="1" applyBorder="1" applyAlignment="1">
      <alignment vertical="top" wrapText="1"/>
    </xf>
    <xf numFmtId="3" fontId="0" fillId="0" borderId="6" xfId="0" applyNumberFormat="1" applyBorder="1" applyAlignment="1">
      <alignment vertical="top"/>
    </xf>
    <xf numFmtId="165" fontId="15" fillId="0" borderId="6" xfId="0" applyNumberFormat="1" applyFont="1" applyBorder="1" applyAlignment="1">
      <alignment vertical="top" wrapText="1"/>
    </xf>
    <xf numFmtId="0" fontId="0" fillId="0" borderId="6" xfId="0" applyBorder="1" applyAlignment="1">
      <alignment horizontal="center" vertical="top"/>
    </xf>
    <xf numFmtId="0" fontId="12" fillId="0" borderId="0" xfId="0" applyFont="1" applyBorder="1" applyAlignment="1">
      <alignment wrapText="1"/>
    </xf>
    <xf numFmtId="0" fontId="10" fillId="7" borderId="6" xfId="0" quotePrefix="1" applyFont="1" applyFill="1" applyBorder="1" applyAlignment="1">
      <alignment vertical="top" wrapText="1"/>
    </xf>
    <xf numFmtId="0" fontId="33" fillId="0" borderId="0" xfId="0" applyFont="1" applyAlignment="1"/>
    <xf numFmtId="0" fontId="12" fillId="3" borderId="12" xfId="0" applyFont="1" applyFill="1" applyBorder="1" applyAlignment="1">
      <alignment vertical="top" wrapText="1"/>
    </xf>
    <xf numFmtId="0" fontId="12" fillId="5" borderId="12" xfId="0" quotePrefix="1" applyFont="1" applyFill="1" applyBorder="1" applyAlignment="1">
      <alignment vertical="top" wrapText="1"/>
    </xf>
    <xf numFmtId="0" fontId="34" fillId="0" borderId="0" xfId="0" quotePrefix="1" applyFont="1" applyAlignment="1">
      <alignment vertical="top" wrapText="1"/>
    </xf>
    <xf numFmtId="0" fontId="12" fillId="4" borderId="15" xfId="0" applyFont="1" applyFill="1" applyBorder="1" applyAlignment="1">
      <alignment vertical="top" wrapText="1"/>
    </xf>
    <xf numFmtId="0" fontId="29" fillId="0" borderId="0" xfId="0" applyFont="1" applyAlignment="1">
      <alignment wrapText="1"/>
    </xf>
    <xf numFmtId="0" fontId="12" fillId="0" borderId="0" xfId="0" quotePrefix="1" applyFont="1" applyFill="1" applyBorder="1" applyAlignment="1">
      <alignment vertical="top" wrapText="1"/>
    </xf>
    <xf numFmtId="165" fontId="10" fillId="0" borderId="6" xfId="0" quotePrefix="1" applyNumberFormat="1" applyFont="1" applyFill="1" applyBorder="1" applyAlignment="1">
      <alignment horizontal="center" vertical="center" wrapText="1"/>
    </xf>
    <xf numFmtId="0" fontId="16" fillId="5" borderId="18" xfId="3" applyFill="1" applyBorder="1" applyAlignment="1">
      <alignment vertical="top" wrapText="1"/>
    </xf>
    <xf numFmtId="0" fontId="0" fillId="0" borderId="16" xfId="0" applyFont="1" applyBorder="1" applyAlignment="1">
      <alignment vertical="top" wrapText="1"/>
    </xf>
    <xf numFmtId="0" fontId="16" fillId="4" borderId="6" xfId="3" applyFill="1" applyBorder="1" applyAlignment="1">
      <alignment vertical="top" wrapText="1"/>
    </xf>
    <xf numFmtId="0" fontId="16" fillId="3" borderId="6" xfId="3" applyFill="1" applyBorder="1" applyAlignment="1">
      <alignment vertical="top" wrapText="1"/>
    </xf>
    <xf numFmtId="0" fontId="16" fillId="5" borderId="6" xfId="3" applyFill="1" applyBorder="1" applyAlignment="1">
      <alignment vertical="top" wrapText="1"/>
    </xf>
    <xf numFmtId="0" fontId="16" fillId="5" borderId="6" xfId="3" quotePrefix="1" applyFill="1" applyBorder="1" applyAlignment="1">
      <alignment vertical="top" wrapText="1"/>
    </xf>
    <xf numFmtId="0" fontId="9" fillId="7" borderId="6" xfId="0" applyFont="1" applyFill="1" applyBorder="1" applyAlignment="1">
      <alignment horizontal="left" wrapText="1"/>
    </xf>
    <xf numFmtId="0" fontId="9" fillId="7" borderId="6" xfId="0" applyFont="1" applyFill="1" applyBorder="1" applyAlignment="1">
      <alignment horizontal="right" wrapText="1"/>
    </xf>
    <xf numFmtId="0" fontId="9" fillId="7" borderId="6" xfId="0" applyFont="1" applyFill="1" applyBorder="1" applyAlignment="1">
      <alignment horizontal="right"/>
    </xf>
    <xf numFmtId="0" fontId="7" fillId="11" borderId="0" xfId="0" applyFont="1" applyFill="1" applyAlignment="1">
      <alignment wrapText="1"/>
    </xf>
    <xf numFmtId="165" fontId="10" fillId="0" borderId="0" xfId="0" quotePrefix="1" applyNumberFormat="1" applyFont="1" applyFill="1" applyBorder="1" applyAlignment="1">
      <alignment horizontal="center" vertical="center" wrapText="1"/>
    </xf>
    <xf numFmtId="0" fontId="10" fillId="0" borderId="0" xfId="0" quotePrefix="1" applyFont="1" applyFill="1" applyBorder="1" applyAlignment="1">
      <alignment vertical="top" wrapText="1"/>
    </xf>
    <xf numFmtId="165" fontId="9" fillId="7" borderId="11" xfId="0" quotePrefix="1" applyNumberFormat="1" applyFont="1" applyFill="1" applyBorder="1" applyAlignment="1">
      <alignment horizontal="center" vertical="center" wrapText="1"/>
    </xf>
    <xf numFmtId="0" fontId="38" fillId="0" borderId="6" xfId="0" applyFont="1" applyBorder="1" applyAlignment="1">
      <alignment horizontal="center" vertical="top" wrapText="1"/>
    </xf>
    <xf numFmtId="166" fontId="38" fillId="0" borderId="6" xfId="1" applyNumberFormat="1" applyFont="1" applyBorder="1" applyAlignment="1">
      <alignment vertical="top" wrapText="1"/>
    </xf>
    <xf numFmtId="6" fontId="38" fillId="0" borderId="6" xfId="0" applyNumberFormat="1" applyFont="1" applyFill="1" applyBorder="1" applyAlignment="1">
      <alignment horizontal="center" vertical="top" wrapText="1"/>
    </xf>
    <xf numFmtId="165" fontId="38" fillId="0" borderId="6" xfId="0" applyNumberFormat="1" applyFont="1" applyFill="1" applyBorder="1" applyAlignment="1">
      <alignment horizontal="center" vertical="top" wrapText="1"/>
    </xf>
    <xf numFmtId="6" fontId="38" fillId="0" borderId="6" xfId="0" applyNumberFormat="1" applyFont="1" applyBorder="1" applyAlignment="1">
      <alignment horizontal="center" vertical="top" wrapText="1"/>
    </xf>
    <xf numFmtId="166" fontId="38" fillId="0" borderId="6" xfId="1" applyNumberFormat="1" applyFont="1" applyBorder="1" applyAlignment="1">
      <alignment horizontal="center" vertical="top" wrapText="1"/>
    </xf>
    <xf numFmtId="165" fontId="38" fillId="0" borderId="6" xfId="0" applyNumberFormat="1" applyFont="1" applyBorder="1" applyAlignment="1">
      <alignment horizontal="center" vertical="top" wrapText="1"/>
    </xf>
    <xf numFmtId="0" fontId="38" fillId="0" borderId="16" xfId="0" applyFont="1" applyBorder="1" applyAlignment="1">
      <alignment horizontal="center" vertical="top" wrapText="1"/>
    </xf>
    <xf numFmtId="166" fontId="38" fillId="0" borderId="16" xfId="1" applyNumberFormat="1" applyFont="1" applyBorder="1" applyAlignment="1">
      <alignment horizontal="center" vertical="top" wrapText="1"/>
    </xf>
    <xf numFmtId="165" fontId="38" fillId="0" borderId="16" xfId="0" applyNumberFormat="1" applyFont="1" applyFill="1" applyBorder="1" applyAlignment="1">
      <alignment horizontal="center" vertical="top" wrapText="1"/>
    </xf>
    <xf numFmtId="165" fontId="38" fillId="0" borderId="16" xfId="0" applyNumberFormat="1" applyFont="1" applyBorder="1" applyAlignment="1">
      <alignment horizontal="center" vertical="top" wrapText="1"/>
    </xf>
    <xf numFmtId="165" fontId="10" fillId="7" borderId="11" xfId="0" quotePrefix="1" applyNumberFormat="1" applyFont="1" applyFill="1" applyBorder="1" applyAlignment="1">
      <alignment horizontal="center" vertical="center" wrapText="1"/>
    </xf>
    <xf numFmtId="0" fontId="39" fillId="0" borderId="0" xfId="0" applyFont="1"/>
    <xf numFmtId="0" fontId="9" fillId="7" borderId="6" xfId="0" applyFont="1" applyFill="1" applyBorder="1" applyAlignment="1">
      <alignment horizontal="center" wrapText="1"/>
    </xf>
    <xf numFmtId="0" fontId="9" fillId="7" borderId="6" xfId="0" applyFont="1" applyFill="1" applyBorder="1" applyAlignment="1">
      <alignment horizontal="center"/>
    </xf>
    <xf numFmtId="165" fontId="9" fillId="7" borderId="6" xfId="0" quotePrefix="1" applyNumberFormat="1" applyFont="1" applyFill="1" applyBorder="1" applyAlignment="1">
      <alignment horizontal="left" vertical="center" wrapText="1"/>
    </xf>
    <xf numFmtId="0" fontId="9" fillId="4" borderId="15" xfId="0" applyFont="1" applyFill="1" applyBorder="1" applyAlignment="1">
      <alignment vertical="top" wrapText="1"/>
    </xf>
    <xf numFmtId="0" fontId="18" fillId="0" borderId="0" xfId="0" applyFont="1" applyBorder="1" applyAlignment="1">
      <alignment vertical="center"/>
    </xf>
    <xf numFmtId="0" fontId="17" fillId="0" borderId="0" xfId="0" applyFont="1" applyBorder="1" applyAlignment="1">
      <alignment vertical="top" wrapText="1"/>
    </xf>
    <xf numFmtId="0" fontId="17" fillId="0" borderId="0" xfId="0" applyFont="1" applyBorder="1" applyAlignment="1">
      <alignment wrapText="1"/>
    </xf>
    <xf numFmtId="0" fontId="0" fillId="0" borderId="11" xfId="0" applyFont="1" applyBorder="1" applyAlignment="1">
      <alignment vertical="top" wrapText="1"/>
    </xf>
    <xf numFmtId="0" fontId="24" fillId="0" borderId="11" xfId="0" applyFont="1" applyBorder="1" applyAlignment="1">
      <alignment vertical="top" wrapText="1"/>
    </xf>
    <xf numFmtId="166" fontId="0" fillId="0" borderId="11" xfId="1" applyNumberFormat="1" applyFont="1" applyBorder="1" applyAlignment="1">
      <alignment vertical="top"/>
    </xf>
    <xf numFmtId="165" fontId="15" fillId="0" borderId="11" xfId="0" applyNumberFormat="1" applyFont="1" applyBorder="1" applyAlignment="1">
      <alignment vertical="top" wrapText="1"/>
    </xf>
    <xf numFmtId="0" fontId="0" fillId="0" borderId="11" xfId="0" applyFont="1" applyBorder="1" applyAlignment="1">
      <alignment horizontal="center" vertical="top" wrapText="1"/>
    </xf>
    <xf numFmtId="0" fontId="0" fillId="0" borderId="11" xfId="0" applyFont="1" applyBorder="1" applyAlignment="1">
      <alignment horizontal="left" vertical="top" wrapText="1"/>
    </xf>
    <xf numFmtId="0" fontId="16" fillId="0" borderId="11" xfId="3" applyBorder="1" applyAlignment="1">
      <alignment vertical="top" wrapText="1"/>
    </xf>
    <xf numFmtId="0" fontId="24" fillId="0" borderId="16" xfId="0" applyFont="1" applyBorder="1" applyAlignment="1">
      <alignment vertical="top" wrapText="1"/>
    </xf>
    <xf numFmtId="0" fontId="0" fillId="0" borderId="16" xfId="0" applyFont="1" applyBorder="1" applyAlignment="1">
      <alignment vertical="top"/>
    </xf>
    <xf numFmtId="165" fontId="15" fillId="0" borderId="16" xfId="0" applyNumberFormat="1" applyFont="1" applyBorder="1" applyAlignment="1">
      <alignment vertical="top" wrapText="1"/>
    </xf>
    <xf numFmtId="0" fontId="0" fillId="0" borderId="16" xfId="0" applyFont="1" applyBorder="1" applyAlignment="1">
      <alignment horizontal="center" vertical="top" wrapText="1"/>
    </xf>
    <xf numFmtId="0" fontId="0" fillId="0" borderId="16" xfId="0" applyFont="1" applyBorder="1" applyAlignment="1">
      <alignment horizontal="left" vertical="top" wrapText="1"/>
    </xf>
    <xf numFmtId="0" fontId="16" fillId="0" borderId="16" xfId="3" applyBorder="1" applyAlignment="1">
      <alignment vertical="top" wrapText="1"/>
    </xf>
    <xf numFmtId="0" fontId="17" fillId="0" borderId="17" xfId="0" applyFont="1" applyBorder="1" applyAlignment="1">
      <alignment wrapText="1"/>
    </xf>
    <xf numFmtId="0" fontId="38" fillId="0" borderId="6" xfId="0" applyFont="1" applyBorder="1" applyAlignment="1">
      <alignment horizontal="center" vertical="center" wrapText="1"/>
    </xf>
    <xf numFmtId="166" fontId="38" fillId="0" borderId="6" xfId="1" applyNumberFormat="1" applyFont="1" applyBorder="1" applyAlignment="1">
      <alignment horizontal="center" vertical="center" wrapText="1"/>
    </xf>
    <xf numFmtId="6" fontId="38" fillId="0" borderId="6" xfId="0" applyNumberFormat="1" applyFont="1" applyFill="1" applyBorder="1" applyAlignment="1">
      <alignment horizontal="center" vertical="center" wrapText="1"/>
    </xf>
    <xf numFmtId="165" fontId="38" fillId="0" borderId="6" xfId="0" applyNumberFormat="1" applyFont="1" applyFill="1" applyBorder="1" applyAlignment="1">
      <alignment horizontal="center" vertical="center" wrapText="1"/>
    </xf>
    <xf numFmtId="6" fontId="38" fillId="0" borderId="6" xfId="0" applyNumberFormat="1" applyFont="1" applyBorder="1" applyAlignment="1">
      <alignment horizontal="center" vertical="center" wrapText="1"/>
    </xf>
    <xf numFmtId="0" fontId="15" fillId="0" borderId="0" xfId="0" applyFont="1" applyAlignment="1">
      <alignment horizontal="left" wrapText="1"/>
    </xf>
    <xf numFmtId="0" fontId="13" fillId="0" borderId="0" xfId="0" applyFont="1" applyFill="1" applyAlignment="1">
      <alignment horizontal="left" vertical="center" wrapText="1"/>
    </xf>
    <xf numFmtId="0" fontId="10" fillId="7" borderId="8" xfId="0" quotePrefix="1" applyFont="1" applyFill="1" applyBorder="1" applyAlignment="1">
      <alignment vertical="top" wrapText="1"/>
    </xf>
    <xf numFmtId="0" fontId="10" fillId="7" borderId="9" xfId="0" quotePrefix="1" applyFont="1" applyFill="1" applyBorder="1" applyAlignment="1">
      <alignment vertical="top" wrapText="1"/>
    </xf>
    <xf numFmtId="0" fontId="37" fillId="7" borderId="8" xfId="0" quotePrefix="1" applyFont="1" applyFill="1" applyBorder="1" applyAlignment="1">
      <alignment horizontal="center" vertical="center" wrapText="1"/>
    </xf>
    <xf numFmtId="0" fontId="37" fillId="7" borderId="19" xfId="0" quotePrefix="1" applyFont="1" applyFill="1" applyBorder="1" applyAlignment="1">
      <alignment horizontal="center" vertical="center" wrapText="1"/>
    </xf>
    <xf numFmtId="0" fontId="37" fillId="7" borderId="9" xfId="0" quotePrefix="1" applyFont="1" applyFill="1" applyBorder="1" applyAlignment="1">
      <alignment horizontal="center" vertical="center" wrapText="1"/>
    </xf>
    <xf numFmtId="0" fontId="35" fillId="11" borderId="14" xfId="0" quotePrefix="1" applyFont="1" applyFill="1" applyBorder="1" applyAlignment="1">
      <alignment horizontal="center" vertical="top" wrapText="1"/>
    </xf>
    <xf numFmtId="0" fontId="36" fillId="11" borderId="14" xfId="0" quotePrefix="1" applyFont="1" applyFill="1" applyBorder="1" applyAlignment="1">
      <alignment horizontal="center" vertical="top" wrapText="1"/>
    </xf>
    <xf numFmtId="165" fontId="9" fillId="7" borderId="8" xfId="0" quotePrefix="1" applyNumberFormat="1" applyFont="1" applyFill="1" applyBorder="1" applyAlignment="1">
      <alignment horizontal="left" vertical="center" wrapText="1"/>
    </xf>
    <xf numFmtId="165" fontId="9" fillId="7" borderId="9" xfId="0" quotePrefix="1" applyNumberFormat="1" applyFont="1" applyFill="1" applyBorder="1" applyAlignment="1">
      <alignment horizontal="left" vertical="center"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12" fillId="3" borderId="8" xfId="0" applyFont="1" applyFill="1" applyBorder="1" applyAlignment="1">
      <alignment vertical="top" wrapText="1"/>
    </xf>
    <xf numFmtId="0" fontId="12" fillId="3" borderId="9" xfId="0" applyFont="1" applyFill="1" applyBorder="1" applyAlignment="1">
      <alignment vertical="top" wrapText="1"/>
    </xf>
    <xf numFmtId="0" fontId="12" fillId="5" borderId="8" xfId="0" quotePrefix="1" applyFont="1" applyFill="1" applyBorder="1" applyAlignment="1">
      <alignment vertical="top" wrapText="1"/>
    </xf>
    <xf numFmtId="0" fontId="12" fillId="5" borderId="9" xfId="0" quotePrefix="1" applyFont="1" applyFill="1" applyBorder="1" applyAlignment="1">
      <alignment vertical="top" wrapText="1"/>
    </xf>
    <xf numFmtId="0" fontId="33" fillId="0" borderId="0" xfId="0" applyFont="1" applyFill="1" applyAlignment="1">
      <alignment wrapText="1"/>
    </xf>
    <xf numFmtId="0" fontId="37" fillId="7" borderId="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13" fillId="0" borderId="0" xfId="0" applyFont="1" applyAlignment="1">
      <alignment horizontal="left" wrapText="1"/>
    </xf>
  </cellXfs>
  <cellStyles count="28">
    <cellStyle name="Comma" xfId="1" builtinId="3"/>
    <cellStyle name="Comma 2" xfId="6" xr:uid="{8C385B8D-B6F1-4020-AFCE-6BB66B2B398B}"/>
    <cellStyle name="Comma 3" xfId="5" xr:uid="{A6A2B87F-59D3-421C-9852-A27F10D44973}"/>
    <cellStyle name="Comma 4" xfId="25" xr:uid="{835F2341-CFFA-4E7B-ACD4-5B2846933233}"/>
    <cellStyle name="Currency" xfId="23" builtinId="4"/>
    <cellStyle name="Currency 2" xfId="8" xr:uid="{67D7CDC1-44EF-4776-B552-40C56CCAA1CF}"/>
    <cellStyle name="Currency 3" xfId="9" xr:uid="{7B27A613-6229-45DA-AAF4-1C8D59AE52A3}"/>
    <cellStyle name="Currency 3 2" xfId="10" xr:uid="{95272935-2F6A-4BB2-9466-D31B3689AD76}"/>
    <cellStyle name="Currency 4" xfId="7" xr:uid="{937A025A-6064-43A1-B6F8-D233126D98AA}"/>
    <cellStyle name="Currency 5" xfId="26" xr:uid="{54CADFEB-C702-4169-81B3-27C6C3843E3F}"/>
    <cellStyle name="Hyperlink" xfId="3" builtinId="8"/>
    <cellStyle name="Hyperlink 2" xfId="12" xr:uid="{B828FCE5-63CE-4AF1-BF48-AD4D118D398B}"/>
    <cellStyle name="Hyperlink 3" xfId="11" xr:uid="{EA46184A-8F98-4FD5-945C-A9A4EDD90430}"/>
    <cellStyle name="Normal" xfId="0" builtinId="0"/>
    <cellStyle name="Normal 2" xfId="13" xr:uid="{90CE4082-EDAD-4F6D-B4FF-4A1FD801453B}"/>
    <cellStyle name="Normal 2 2" xfId="14" xr:uid="{820ECDF8-CB53-4E1D-B66A-0BE8571BA87F}"/>
    <cellStyle name="Normal 2 3" xfId="15" xr:uid="{B5113D6E-4DF4-4ED5-BC17-F490DEB50EFC}"/>
    <cellStyle name="Normal 2 4" xfId="16" xr:uid="{D87BDD50-F0F0-485B-A408-D3DEC5443642}"/>
    <cellStyle name="Normal 3" xfId="17" xr:uid="{5C865070-ED7B-4690-A559-D8FAC337EA46}"/>
    <cellStyle name="Normal 4" xfId="18" xr:uid="{5FE57E3B-17C4-4A8B-945A-266EFB60EB59}"/>
    <cellStyle name="Normal 5" xfId="4" xr:uid="{A6FCFE44-4D99-4FAA-B1CD-85CB5157024C}"/>
    <cellStyle name="Normal 6" xfId="19" xr:uid="{362C81F4-0A8A-4FB9-A25A-708D42C88547}"/>
    <cellStyle name="Normal 7" xfId="24" xr:uid="{4220DE22-08FB-43DD-9D57-2DF82368C07A}"/>
    <cellStyle name="Percent" xfId="2" builtinId="5"/>
    <cellStyle name="Percent 2" xfId="20" xr:uid="{CD779644-D561-4142-9B09-A15A93A23C78}"/>
    <cellStyle name="Percent 2 2" xfId="21" xr:uid="{4352FE8C-1786-467C-AC9A-2BB673A39168}"/>
    <cellStyle name="Percent 3" xfId="27" xr:uid="{C9EB13BB-DEAE-4BB8-8CA2-829C3F85D795}"/>
    <cellStyle name="Percent 5" xfId="22" xr:uid="{E7008B63-19E0-4F9C-94FC-6987D32C75F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font>
    </dxf>
    <dxf>
      <font>
        <color rgb="FF9C0006"/>
      </font>
    </dxf>
    <dxf>
      <font>
        <color theme="9"/>
      </font>
    </dxf>
    <dxf>
      <font>
        <color rgb="FF9C0006"/>
      </font>
    </dxf>
    <dxf>
      <font>
        <color theme="9"/>
      </font>
    </dxf>
    <dxf>
      <font>
        <color rgb="FF9C0006"/>
      </font>
    </dxf>
    <dxf>
      <font>
        <color theme="9"/>
      </font>
    </dxf>
    <dxf>
      <font>
        <color rgb="FF9C0006"/>
      </font>
    </dxf>
    <dxf>
      <font>
        <color theme="9"/>
      </font>
    </dxf>
    <dxf>
      <font>
        <color rgb="FF9C0006"/>
      </font>
    </dxf>
    <dxf>
      <font>
        <color theme="9"/>
      </font>
    </dxf>
    <dxf>
      <font>
        <color rgb="FF9C0006"/>
      </font>
    </dxf>
  </dxfs>
  <tableStyles count="0" defaultTableStyle="TableStyleMedium2" defaultPivotStyle="PivotStyleLight16"/>
  <colors>
    <mruColors>
      <color rgb="FFB7B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179911</xdr:colOff>
      <xdr:row>1</xdr:row>
      <xdr:rowOff>116414</xdr:rowOff>
    </xdr:from>
    <xdr:to>
      <xdr:col>2</xdr:col>
      <xdr:colOff>1693327</xdr:colOff>
      <xdr:row>5</xdr:row>
      <xdr:rowOff>148163</xdr:rowOff>
    </xdr:to>
    <xdr:pic>
      <xdr:nvPicPr>
        <xdr:cNvPr id="6" name="Picture 5">
          <a:extLst>
            <a:ext uri="{FF2B5EF4-FFF2-40B4-BE49-F238E27FC236}">
              <a16:creationId xmlns:a16="http://schemas.microsoft.com/office/drawing/2014/main" id="{18D6A842-4799-7F4D-A8E9-37AD1B849C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1" y="306914"/>
          <a:ext cx="3069166" cy="836082"/>
        </a:xfrm>
        <a:prstGeom prst="rect">
          <a:avLst/>
        </a:prstGeom>
        <a:solidFill>
          <a:schemeClr val="bg1"/>
        </a:solidFill>
      </xdr:spPr>
    </xdr:pic>
    <xdr:clientData/>
  </xdr:twoCellAnchor>
  <xdr:twoCellAnchor editAs="oneCell">
    <xdr:from>
      <xdr:col>3</xdr:col>
      <xdr:colOff>846665</xdr:colOff>
      <xdr:row>0</xdr:row>
      <xdr:rowOff>0</xdr:rowOff>
    </xdr:from>
    <xdr:to>
      <xdr:col>6</xdr:col>
      <xdr:colOff>328082</xdr:colOff>
      <xdr:row>6</xdr:row>
      <xdr:rowOff>95251</xdr:rowOff>
    </xdr:to>
    <xdr:pic>
      <xdr:nvPicPr>
        <xdr:cNvPr id="2" name="Picture 1">
          <a:extLst>
            <a:ext uri="{FF2B5EF4-FFF2-40B4-BE49-F238E27FC236}">
              <a16:creationId xmlns:a16="http://schemas.microsoft.com/office/drawing/2014/main" id="{D11F4F3A-331D-9C40-BAB4-9DBD741B58FA}"/>
            </a:ext>
          </a:extLst>
        </xdr:cNvPr>
        <xdr:cNvPicPr>
          <a:picLocks noChangeAspect="1"/>
        </xdr:cNvPicPr>
      </xdr:nvPicPr>
      <xdr:blipFill>
        <a:blip xmlns:r="http://schemas.openxmlformats.org/officeDocument/2006/relationships" r:embed="rId2"/>
        <a:stretch>
          <a:fillRect/>
        </a:stretch>
      </xdr:blipFill>
      <xdr:spPr>
        <a:xfrm>
          <a:off x="4561415" y="0"/>
          <a:ext cx="2698750" cy="1291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pubmed.ncbi.nlm.nih.gov/17000937/" TargetMode="External"/><Relationship Id="rId13" Type="http://schemas.openxmlformats.org/officeDocument/2006/relationships/hyperlink" Target="https://pubmed.ncbi.nlm.nih.gov/28264943/" TargetMode="External"/><Relationship Id="rId3" Type="http://schemas.openxmlformats.org/officeDocument/2006/relationships/hyperlink" Target="https://pubmed.ncbi.nlm.nih.gov/18600171/" TargetMode="External"/><Relationship Id="rId7" Type="http://schemas.openxmlformats.org/officeDocument/2006/relationships/hyperlink" Target="https://pubmed.ncbi.nlm.nih.gov/25039690/" TargetMode="External"/><Relationship Id="rId12" Type="http://schemas.openxmlformats.org/officeDocument/2006/relationships/hyperlink" Target="https://pubmed.ncbi.nlm.nih.gov/29240530/" TargetMode="External"/><Relationship Id="rId17" Type="http://schemas.openxmlformats.org/officeDocument/2006/relationships/printerSettings" Target="../printerSettings/printerSettings3.bin"/><Relationship Id="rId2" Type="http://schemas.openxmlformats.org/officeDocument/2006/relationships/hyperlink" Target="https://pubmed.ncbi.nlm.nih.gov/19187882/" TargetMode="External"/><Relationship Id="rId16" Type="http://schemas.openxmlformats.org/officeDocument/2006/relationships/hyperlink" Target="https://pubmed.ncbi.nlm.nih.gov/11147984/" TargetMode="External"/><Relationship Id="rId1" Type="http://schemas.openxmlformats.org/officeDocument/2006/relationships/hyperlink" Target="https://pubmed.ncbi.nlm.nih.gov/27793527/" TargetMode="External"/><Relationship Id="rId6" Type="http://schemas.openxmlformats.org/officeDocument/2006/relationships/hyperlink" Target="https://pubmed.ncbi.nlm.nih.gov/25221986/" TargetMode="External"/><Relationship Id="rId11" Type="http://schemas.openxmlformats.org/officeDocument/2006/relationships/hyperlink" Target="https://pubmed.ncbi.nlm.nih.gov/26643635/" TargetMode="External"/><Relationship Id="rId5" Type="http://schemas.openxmlformats.org/officeDocument/2006/relationships/hyperlink" Target="https://pubmed.ncbi.nlm.nih.gov/25333529/" TargetMode="External"/><Relationship Id="rId15" Type="http://schemas.openxmlformats.org/officeDocument/2006/relationships/hyperlink" Target="https://pubmed.ncbi.nlm.nih.gov/25039690/" TargetMode="External"/><Relationship Id="rId10" Type="http://schemas.openxmlformats.org/officeDocument/2006/relationships/hyperlink" Target="https://pubmed.ncbi.nlm.nih.gov/30422224/" TargetMode="External"/><Relationship Id="rId4" Type="http://schemas.openxmlformats.org/officeDocument/2006/relationships/hyperlink" Target="https://pubmed.ncbi.nlm.nih.gov/26733698/" TargetMode="External"/><Relationship Id="rId9" Type="http://schemas.openxmlformats.org/officeDocument/2006/relationships/hyperlink" Target="https://pubmed.ncbi.nlm.nih.gov/10029122/" TargetMode="External"/><Relationship Id="rId14" Type="http://schemas.openxmlformats.org/officeDocument/2006/relationships/hyperlink" Target="https://pubmed.ncbi.nlm.nih.gov/29514676/"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ubmed.ncbi.nlm.nih.gov/27913657/" TargetMode="External"/><Relationship Id="rId1" Type="http://schemas.openxmlformats.org/officeDocument/2006/relationships/hyperlink" Target="https://pubmed.ncbi.nlm.nih.gov/2833336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hyperlink" Target="https://beta.bls.gov/dataViewer/view/timeseries/CUUR0000SAM2;jsessionid=36CA8FFCBD8671E8269E167FD40C6A68" TargetMode="External"/><Relationship Id="rId1" Type="http://schemas.openxmlformats.org/officeDocument/2006/relationships/hyperlink" Target="https://www.bls.gov/cpi/tables/supplemental-files/hom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C4291-1A4F-4C90-B9F5-46F01BBB87DF}">
  <sheetPr>
    <tabColor theme="9" tint="0.79998168889431442"/>
  </sheetPr>
  <dimension ref="A2:R28"/>
  <sheetViews>
    <sheetView showGridLines="0" tabSelected="1" zoomScale="120" zoomScaleNormal="120" workbookViewId="0"/>
  </sheetViews>
  <sheetFormatPr baseColWidth="10" defaultColWidth="8.83203125" defaultRowHeight="15" x14ac:dyDescent="0.2"/>
  <cols>
    <col min="2" max="2" width="11.5" customWidth="1"/>
    <col min="3" max="3" width="28.33203125" customWidth="1"/>
    <col min="4" max="4" width="15.5" customWidth="1"/>
    <col min="5" max="5" width="17.83203125" customWidth="1"/>
  </cols>
  <sheetData>
    <row r="2" spans="1:5" ht="16" x14ac:dyDescent="0.2">
      <c r="A2" s="90"/>
    </row>
    <row r="3" spans="1:5" ht="16" x14ac:dyDescent="0.2">
      <c r="A3" s="90"/>
    </row>
    <row r="4" spans="1:5" ht="16" x14ac:dyDescent="0.2">
      <c r="A4" s="90"/>
    </row>
    <row r="5" spans="1:5" ht="16" x14ac:dyDescent="0.2">
      <c r="A5" s="90"/>
    </row>
    <row r="6" spans="1:5" ht="16" x14ac:dyDescent="0.2">
      <c r="A6" s="90"/>
    </row>
    <row r="7" spans="1:5" ht="16" x14ac:dyDescent="0.2">
      <c r="A7" s="90"/>
    </row>
    <row r="8" spans="1:5" ht="21" x14ac:dyDescent="0.25">
      <c r="A8" s="2" t="s">
        <v>268</v>
      </c>
    </row>
    <row r="9" spans="1:5" ht="16" x14ac:dyDescent="0.2">
      <c r="A9" s="90"/>
    </row>
    <row r="10" spans="1:5" ht="16" x14ac:dyDescent="0.2">
      <c r="A10" s="73" t="s">
        <v>117</v>
      </c>
      <c r="B10" s="73" t="s">
        <v>118</v>
      </c>
      <c r="C10" s="88" t="s">
        <v>119</v>
      </c>
      <c r="D10" s="88" t="s">
        <v>120</v>
      </c>
      <c r="E10" s="74" t="s">
        <v>121</v>
      </c>
    </row>
    <row r="11" spans="1:5" ht="17" customHeight="1" x14ac:dyDescent="0.2">
      <c r="A11">
        <v>1</v>
      </c>
      <c r="B11" s="72" t="s">
        <v>122</v>
      </c>
      <c r="C11" t="s">
        <v>243</v>
      </c>
      <c r="D11" s="46" t="s">
        <v>243</v>
      </c>
      <c r="E11" s="9" t="str">
        <f>IF(AND('Costs &amp; Revenue'!H22&lt;&gt;0,'Costs &amp; Revenue'!L22&lt;&gt;0,'Costs &amp; Revenue'!H5&lt;&gt;0),"Complete","Incomplete")</f>
        <v>Complete</v>
      </c>
    </row>
    <row r="12" spans="1:5" ht="17" customHeight="1" x14ac:dyDescent="0.2">
      <c r="B12" s="72"/>
      <c r="C12" t="s">
        <v>160</v>
      </c>
      <c r="D12" s="46" t="s">
        <v>123</v>
      </c>
      <c r="E12" s="9" t="str">
        <f>IF('Shared Savings'!B21&lt;&gt;0,"Complete","Incomplete")</f>
        <v>Complete</v>
      </c>
    </row>
    <row r="13" spans="1:5" ht="17" customHeight="1" x14ac:dyDescent="0.2">
      <c r="B13" s="72"/>
      <c r="C13" t="s">
        <v>161</v>
      </c>
      <c r="D13" s="46" t="s">
        <v>124</v>
      </c>
      <c r="E13" s="9" t="str">
        <f>IF(AND('Extra C&amp;B'!B10&lt;&gt;0,'Extra C&amp;B'!E10&lt;&gt;0),"Complete","Incomplete")</f>
        <v>Complete</v>
      </c>
    </row>
    <row r="14" spans="1:5" ht="32" x14ac:dyDescent="0.2">
      <c r="A14">
        <v>2</v>
      </c>
      <c r="B14" s="75" t="s">
        <v>125</v>
      </c>
      <c r="C14" s="37" t="s">
        <v>162</v>
      </c>
      <c r="D14" s="46" t="s">
        <v>126</v>
      </c>
      <c r="E14" s="9" t="str">
        <f>IF('Shared Savings'!B14&lt;&gt;"","Complete","Incomplete")</f>
        <v>Complete</v>
      </c>
    </row>
    <row r="15" spans="1:5" ht="17" customHeight="1" x14ac:dyDescent="0.2">
      <c r="B15" s="75"/>
      <c r="C15" t="s">
        <v>136</v>
      </c>
      <c r="D15" s="46" t="s">
        <v>128</v>
      </c>
      <c r="E15" s="9" t="s">
        <v>285</v>
      </c>
    </row>
    <row r="16" spans="1:5" ht="17" customHeight="1" x14ac:dyDescent="0.2">
      <c r="A16">
        <v>3</v>
      </c>
      <c r="B16" s="117" t="s">
        <v>129</v>
      </c>
      <c r="C16" t="s">
        <v>129</v>
      </c>
      <c r="D16" s="46" t="s">
        <v>129</v>
      </c>
      <c r="E16" s="9" t="str">
        <f>IF(OR('Return on Investment'!E14&lt;&gt;0,'Return on Investment'!E21&lt;&gt;0),"Results available","Incomplete")</f>
        <v>Results available</v>
      </c>
    </row>
    <row r="17" spans="1:18" ht="17" customHeight="1" x14ac:dyDescent="0.2">
      <c r="A17">
        <v>4</v>
      </c>
      <c r="B17" s="118" t="s">
        <v>130</v>
      </c>
      <c r="C17" t="s">
        <v>131</v>
      </c>
      <c r="D17" s="46" t="s">
        <v>131</v>
      </c>
      <c r="E17" s="9" t="s">
        <v>127</v>
      </c>
    </row>
    <row r="18" spans="1:18" ht="17" customHeight="1" x14ac:dyDescent="0.2">
      <c r="B18" s="118"/>
      <c r="C18" t="s">
        <v>158</v>
      </c>
      <c r="D18" s="46" t="s">
        <v>158</v>
      </c>
      <c r="E18" s="9" t="s">
        <v>127</v>
      </c>
    </row>
    <row r="19" spans="1:18" ht="16" customHeight="1" x14ac:dyDescent="0.2">
      <c r="B19" s="43"/>
      <c r="D19" s="46"/>
      <c r="E19" s="9"/>
    </row>
    <row r="21" spans="1:18" ht="19" x14ac:dyDescent="0.25">
      <c r="A21" s="134" t="s">
        <v>263</v>
      </c>
    </row>
    <row r="22" spans="1:18" ht="50.25" customHeight="1" x14ac:dyDescent="0.2">
      <c r="A22" s="226" t="s">
        <v>246</v>
      </c>
      <c r="B22" s="226"/>
      <c r="C22" s="226"/>
      <c r="D22" s="226"/>
      <c r="E22" s="226"/>
      <c r="F22" s="226"/>
      <c r="G22" s="226"/>
      <c r="H22" s="226"/>
      <c r="I22" s="226"/>
      <c r="J22" s="226"/>
      <c r="K22" s="226"/>
      <c r="L22" s="132"/>
      <c r="M22" s="132"/>
      <c r="N22" s="132"/>
      <c r="O22" s="132"/>
      <c r="P22" s="132"/>
      <c r="Q22" s="132"/>
      <c r="R22" s="132"/>
    </row>
    <row r="23" spans="1:18" ht="53" customHeight="1" x14ac:dyDescent="0.2">
      <c r="A23" s="226" t="s">
        <v>264</v>
      </c>
      <c r="B23" s="226"/>
      <c r="C23" s="226"/>
      <c r="D23" s="226"/>
      <c r="E23" s="226"/>
      <c r="F23" s="226"/>
      <c r="G23" s="226"/>
      <c r="H23" s="226"/>
      <c r="I23" s="226"/>
      <c r="J23" s="226"/>
      <c r="K23" s="226"/>
      <c r="L23" s="132"/>
      <c r="M23" s="132"/>
      <c r="N23" s="132"/>
      <c r="O23" s="132"/>
      <c r="P23" s="132"/>
      <c r="Q23" s="132"/>
      <c r="R23" s="132"/>
    </row>
    <row r="24" spans="1:18" ht="37" customHeight="1" x14ac:dyDescent="0.2">
      <c r="A24" s="226" t="s">
        <v>244</v>
      </c>
      <c r="B24" s="226"/>
      <c r="C24" s="226"/>
      <c r="D24" s="226"/>
      <c r="E24" s="226"/>
      <c r="F24" s="226"/>
      <c r="G24" s="226"/>
      <c r="H24" s="226"/>
      <c r="I24" s="226"/>
      <c r="J24" s="226"/>
      <c r="K24" s="226"/>
      <c r="L24" s="132"/>
      <c r="M24" s="132"/>
      <c r="N24" s="132"/>
      <c r="O24" s="132"/>
      <c r="P24" s="132"/>
      <c r="Q24" s="132"/>
      <c r="R24" s="132"/>
    </row>
    <row r="25" spans="1:18" ht="39" customHeight="1" x14ac:dyDescent="0.2">
      <c r="A25" s="226" t="s">
        <v>245</v>
      </c>
      <c r="B25" s="226"/>
      <c r="C25" s="226"/>
      <c r="D25" s="226"/>
      <c r="E25" s="226"/>
      <c r="F25" s="226"/>
      <c r="G25" s="226"/>
      <c r="H25" s="226"/>
      <c r="I25" s="226"/>
      <c r="J25" s="226"/>
      <c r="K25" s="226"/>
      <c r="L25" s="133"/>
      <c r="M25" s="133"/>
      <c r="N25" s="133"/>
      <c r="O25" s="133"/>
      <c r="P25" s="133"/>
      <c r="Q25" s="133"/>
      <c r="R25" s="133"/>
    </row>
    <row r="26" spans="1:18" ht="51" customHeight="1" x14ac:dyDescent="0.2">
      <c r="A26" s="226" t="s">
        <v>265</v>
      </c>
      <c r="B26" s="226"/>
      <c r="C26" s="226"/>
      <c r="D26" s="226"/>
      <c r="E26" s="226"/>
      <c r="F26" s="226"/>
      <c r="G26" s="226"/>
      <c r="H26" s="226"/>
      <c r="I26" s="226"/>
      <c r="J26" s="226"/>
      <c r="K26" s="226"/>
      <c r="L26" s="132"/>
      <c r="M26" s="132"/>
      <c r="N26" s="132"/>
      <c r="O26" s="132"/>
      <c r="P26" s="132"/>
      <c r="Q26" s="132"/>
      <c r="R26" s="132"/>
    </row>
    <row r="27" spans="1:18" ht="34" customHeight="1" x14ac:dyDescent="0.2">
      <c r="A27" s="226" t="s">
        <v>266</v>
      </c>
      <c r="B27" s="226"/>
      <c r="C27" s="226"/>
      <c r="D27" s="226"/>
      <c r="E27" s="226"/>
      <c r="F27" s="226"/>
      <c r="G27" s="226"/>
      <c r="H27" s="226"/>
      <c r="I27" s="226"/>
      <c r="J27" s="226"/>
      <c r="K27" s="226"/>
      <c r="L27" s="133"/>
      <c r="M27" s="133"/>
      <c r="N27" s="133"/>
      <c r="O27" s="133"/>
      <c r="P27" s="133"/>
      <c r="Q27" s="133"/>
      <c r="R27" s="133"/>
    </row>
    <row r="28" spans="1:18" ht="67" customHeight="1" x14ac:dyDescent="0.2">
      <c r="A28" s="226" t="s">
        <v>267</v>
      </c>
      <c r="B28" s="226"/>
      <c r="C28" s="226"/>
      <c r="D28" s="226"/>
      <c r="E28" s="226"/>
      <c r="F28" s="226"/>
      <c r="G28" s="226"/>
      <c r="H28" s="226"/>
      <c r="I28" s="226"/>
      <c r="J28" s="226"/>
      <c r="K28" s="226"/>
      <c r="L28" s="132"/>
      <c r="M28" s="132"/>
      <c r="N28" s="132"/>
      <c r="O28" s="132"/>
      <c r="P28" s="132"/>
      <c r="Q28" s="132"/>
      <c r="R28" s="132"/>
    </row>
  </sheetData>
  <mergeCells count="7">
    <mergeCell ref="A27:K27"/>
    <mergeCell ref="A28:K28"/>
    <mergeCell ref="A22:K22"/>
    <mergeCell ref="A23:K23"/>
    <mergeCell ref="A24:K24"/>
    <mergeCell ref="A25:K25"/>
    <mergeCell ref="A26:K26"/>
  </mergeCells>
  <conditionalFormatting sqref="E11">
    <cfRule type="containsText" dxfId="14" priority="11" operator="containsText" text="Incomplete">
      <formula>NOT(ISERROR(SEARCH("Incomplete",E11)))</formula>
    </cfRule>
    <cfRule type="containsText" dxfId="13" priority="12" operator="containsText" text="Complete">
      <formula>NOT(ISERROR(SEARCH("Complete",E11)))</formula>
    </cfRule>
  </conditionalFormatting>
  <conditionalFormatting sqref="E12">
    <cfRule type="containsText" dxfId="12" priority="9" operator="containsText" text="Incomplete">
      <formula>NOT(ISERROR(SEARCH("Incomplete",E12)))</formula>
    </cfRule>
    <cfRule type="containsText" dxfId="11" priority="10" operator="containsText" text="Complete">
      <formula>NOT(ISERROR(SEARCH("Complete",E12)))</formula>
    </cfRule>
  </conditionalFormatting>
  <conditionalFormatting sqref="E13">
    <cfRule type="containsText" dxfId="10" priority="7" operator="containsText" text="Incomplete">
      <formula>NOT(ISERROR(SEARCH("Incomplete",E13)))</formula>
    </cfRule>
    <cfRule type="containsText" dxfId="9" priority="8" operator="containsText" text="Complete">
      <formula>NOT(ISERROR(SEARCH("Complete",E13)))</formula>
    </cfRule>
  </conditionalFormatting>
  <conditionalFormatting sqref="E14">
    <cfRule type="containsText" dxfId="8" priority="5" operator="containsText" text="Incomplete">
      <formula>NOT(ISERROR(SEARCH("Incomplete",E14)))</formula>
    </cfRule>
    <cfRule type="containsText" dxfId="7" priority="6" operator="containsText" text="Complete">
      <formula>NOT(ISERROR(SEARCH("Complete",E14)))</formula>
    </cfRule>
  </conditionalFormatting>
  <conditionalFormatting sqref="E15">
    <cfRule type="containsText" dxfId="6" priority="3" operator="containsText" text="Incomplete">
      <formula>NOT(ISERROR(SEARCH("Incomplete",E15)))</formula>
    </cfRule>
    <cfRule type="containsText" dxfId="5" priority="4" operator="containsText" text="Complete">
      <formula>NOT(ISERROR(SEARCH("Complete",E15)))</formula>
    </cfRule>
  </conditionalFormatting>
  <conditionalFormatting sqref="E16">
    <cfRule type="containsText" dxfId="4" priority="1" operator="containsText" text="Incomplete">
      <formula>NOT(ISERROR(SEARCH("Incomplete",E16)))</formula>
    </cfRule>
    <cfRule type="containsText" dxfId="3" priority="2" operator="containsText" text="Results Available">
      <formula>NOT(ISERROR(SEARCH("Results Available",E16)))</formula>
    </cfRule>
  </conditionalFormatting>
  <hyperlinks>
    <hyperlink ref="D11" location="'Costs &amp; Revenue'!A1" display="Costs" xr:uid="{4670879B-CC50-704C-AC69-F4F96328FEBC}"/>
    <hyperlink ref="D12" location="'Shared Savings'!A1" display="Shared Savings" xr:uid="{1BDB0932-D8F7-9F48-9963-2F2F0611AB82}"/>
    <hyperlink ref="D13" location="'Extra C&amp;B'!A1" display="Extra C&amp;B" xr:uid="{1DF26BD1-1251-2341-A598-E4FF9EEC85DF}"/>
    <hyperlink ref="D14" location="'HBPC offsets'!A1" display="HBPC Offsets" xr:uid="{601CBDCB-91ED-4649-AE0B-0DB80B10C7E7}"/>
    <hyperlink ref="D15" location="'Paramed offsets'!A1" display="Paramed Offsets" xr:uid="{8F9D3DE4-5186-D740-B7FD-BF5E4F88C2FE}"/>
    <hyperlink ref="D16" location="Results!A1" display="Results" xr:uid="{3FE6605D-DFC7-7347-AE84-9D4FDC151704}"/>
    <hyperlink ref="D17" location="Inflation!A1" display="Inflation" xr:uid="{D5CA5C61-F796-724F-BDE3-B2B85B44E9FE}"/>
    <hyperlink ref="D18" location="References!A1" display="References" xr:uid="{10BE1413-D62C-BF4C-9F8A-1D9D8536ACE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36E68-3561-6146-9E1D-7421B13A70E9}">
  <sheetPr>
    <tabColor theme="9" tint="0.79998168889431442"/>
  </sheetPr>
  <dimension ref="A1:A21"/>
  <sheetViews>
    <sheetView zoomScale="110" zoomScaleNormal="110" workbookViewId="0"/>
  </sheetViews>
  <sheetFormatPr baseColWidth="10" defaultColWidth="11.5" defaultRowHeight="16" x14ac:dyDescent="0.2"/>
  <cols>
    <col min="1" max="1" width="97.6640625" style="93" customWidth="1"/>
  </cols>
  <sheetData>
    <row r="1" spans="1:1" ht="21" x14ac:dyDescent="0.25">
      <c r="A1" s="142" t="s">
        <v>158</v>
      </c>
    </row>
    <row r="2" spans="1:1" ht="39" customHeight="1" x14ac:dyDescent="0.2">
      <c r="A2" s="143" t="s">
        <v>226</v>
      </c>
    </row>
    <row r="3" spans="1:1" ht="39" customHeight="1" x14ac:dyDescent="0.2">
      <c r="A3" s="143" t="s">
        <v>87</v>
      </c>
    </row>
    <row r="4" spans="1:1" ht="33" customHeight="1" x14ac:dyDescent="0.2">
      <c r="A4" s="143" t="s">
        <v>225</v>
      </c>
    </row>
    <row r="5" spans="1:1" ht="43" customHeight="1" x14ac:dyDescent="0.2">
      <c r="A5" s="143" t="s">
        <v>192</v>
      </c>
    </row>
    <row r="6" spans="1:1" ht="46" customHeight="1" x14ac:dyDescent="0.2">
      <c r="A6" s="125" t="s">
        <v>191</v>
      </c>
    </row>
    <row r="7" spans="1:1" ht="51" customHeight="1" x14ac:dyDescent="0.2">
      <c r="A7" s="143" t="s">
        <v>85</v>
      </c>
    </row>
    <row r="8" spans="1:1" ht="39" customHeight="1" x14ac:dyDescent="0.2">
      <c r="A8" s="144" t="s">
        <v>83</v>
      </c>
    </row>
    <row r="9" spans="1:1" ht="39" customHeight="1" x14ac:dyDescent="0.2">
      <c r="A9" s="143" t="s">
        <v>199</v>
      </c>
    </row>
    <row r="10" spans="1:1" ht="39" customHeight="1" x14ac:dyDescent="0.2">
      <c r="A10" s="143" t="s">
        <v>224</v>
      </c>
    </row>
    <row r="11" spans="1:1" ht="39" customHeight="1" x14ac:dyDescent="0.2">
      <c r="A11" s="143" t="s">
        <v>197</v>
      </c>
    </row>
    <row r="12" spans="1:1" ht="39" customHeight="1" x14ac:dyDescent="0.2">
      <c r="A12" s="143" t="s">
        <v>198</v>
      </c>
    </row>
    <row r="13" spans="1:1" ht="39" customHeight="1" x14ac:dyDescent="0.2">
      <c r="A13" s="143" t="s">
        <v>200</v>
      </c>
    </row>
    <row r="14" spans="1:1" ht="39" customHeight="1" x14ac:dyDescent="0.2">
      <c r="A14" s="143" t="s">
        <v>88</v>
      </c>
    </row>
    <row r="15" spans="1:1" ht="39" customHeight="1" x14ac:dyDescent="0.2">
      <c r="A15" s="143" t="s">
        <v>196</v>
      </c>
    </row>
    <row r="16" spans="1:1" ht="39" customHeight="1" x14ac:dyDescent="0.2">
      <c r="A16" s="143" t="s">
        <v>195</v>
      </c>
    </row>
    <row r="17" spans="1:1" ht="45.75" customHeight="1" x14ac:dyDescent="0.2">
      <c r="A17" s="143" t="s">
        <v>194</v>
      </c>
    </row>
    <row r="18" spans="1:1" ht="56" customHeight="1" x14ac:dyDescent="0.2">
      <c r="A18" s="143" t="s">
        <v>193</v>
      </c>
    </row>
    <row r="19" spans="1:1" ht="34" x14ac:dyDescent="0.2">
      <c r="A19" s="144" t="s">
        <v>286</v>
      </c>
    </row>
    <row r="20" spans="1:1" ht="34" x14ac:dyDescent="0.2">
      <c r="A20" s="144" t="s">
        <v>287</v>
      </c>
    </row>
    <row r="21" spans="1:1" x14ac:dyDescent="0.2">
      <c r="A21" s="145"/>
    </row>
  </sheetData>
  <sortState xmlns:xlrd2="http://schemas.microsoft.com/office/spreadsheetml/2017/richdata2" ref="A2:A18">
    <sortCondition ref="A2:A18"/>
  </sortState>
  <hyperlinks>
    <hyperlink ref="A1" location="'Table of Contents'!A1" display="References" xr:uid="{17C6E2BA-6771-4240-84FC-0326D5BC80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1D2ED-2D0C-42EF-87D3-FDF9A6610895}">
  <sheetPr>
    <tabColor theme="7" tint="0.79998168889431442"/>
  </sheetPr>
  <dimension ref="A1:V101"/>
  <sheetViews>
    <sheetView zoomScale="110" zoomScaleNormal="110" workbookViewId="0"/>
  </sheetViews>
  <sheetFormatPr baseColWidth="10" defaultColWidth="8.83203125" defaultRowHeight="15" x14ac:dyDescent="0.2"/>
  <cols>
    <col min="1" max="1" width="22.6640625" customWidth="1"/>
    <col min="2" max="2" width="9.6640625" customWidth="1"/>
    <col min="3" max="3" width="17" customWidth="1"/>
    <col min="4" max="4" width="8.1640625" customWidth="1"/>
    <col min="5" max="6" width="11" customWidth="1"/>
    <col min="7" max="7" width="16.5" customWidth="1"/>
    <col min="8" max="8" width="13" customWidth="1"/>
    <col min="9" max="9" width="17.33203125" customWidth="1"/>
    <col min="10" max="10" width="11.5" customWidth="1"/>
    <col min="11" max="11" width="18.33203125" customWidth="1"/>
    <col min="12" max="12" width="9.83203125" customWidth="1"/>
    <col min="15" max="15" width="12.6640625" customWidth="1"/>
    <col min="18" max="18" width="12" customWidth="1"/>
  </cols>
  <sheetData>
    <row r="1" spans="1:22" ht="21" x14ac:dyDescent="0.25">
      <c r="A1" s="2" t="s">
        <v>252</v>
      </c>
      <c r="B1" s="2"/>
      <c r="M1" s="1"/>
    </row>
    <row r="2" spans="1:22" ht="19" x14ac:dyDescent="0.25">
      <c r="A2" s="126" t="s">
        <v>242</v>
      </c>
      <c r="B2" s="3"/>
    </row>
    <row r="3" spans="1:22" ht="16" x14ac:dyDescent="0.2">
      <c r="A3" s="24"/>
      <c r="B3" s="25" t="s">
        <v>256</v>
      </c>
      <c r="C3" s="24"/>
      <c r="D3" s="24"/>
      <c r="E3" s="24"/>
      <c r="F3" s="24"/>
      <c r="G3" s="25"/>
      <c r="H3" s="25"/>
      <c r="I3" s="24"/>
      <c r="J3" s="24"/>
      <c r="K3" s="24"/>
      <c r="L3" s="24"/>
      <c r="U3" s="9"/>
    </row>
    <row r="4" spans="1:22" ht="17" thickBot="1" x14ac:dyDescent="0.25">
      <c r="A4" s="24"/>
      <c r="B4" s="130" t="s">
        <v>45</v>
      </c>
      <c r="G4" s="11"/>
      <c r="H4" s="11"/>
      <c r="K4" s="24"/>
      <c r="L4" s="24"/>
    </row>
    <row r="5" spans="1:22" ht="16" thickBot="1" x14ac:dyDescent="0.25">
      <c r="A5" s="24"/>
      <c r="B5" s="13" t="s">
        <v>0</v>
      </c>
      <c r="C5" s="59">
        <v>500</v>
      </c>
      <c r="G5" s="13" t="s">
        <v>1</v>
      </c>
      <c r="H5" s="108">
        <f>$C$5*$C$9</f>
        <v>4000</v>
      </c>
      <c r="K5" s="24"/>
      <c r="L5" s="24"/>
    </row>
    <row r="6" spans="1:22" x14ac:dyDescent="0.2">
      <c r="A6" s="24"/>
      <c r="K6" s="24"/>
      <c r="L6" s="24"/>
    </row>
    <row r="7" spans="1:22" ht="16" x14ac:dyDescent="0.2">
      <c r="A7" s="24"/>
      <c r="B7" s="11" t="s">
        <v>2</v>
      </c>
      <c r="K7" s="24"/>
      <c r="L7" s="24"/>
    </row>
    <row r="8" spans="1:22" ht="17" thickBot="1" x14ac:dyDescent="0.25">
      <c r="A8" s="24"/>
      <c r="B8" s="130" t="s">
        <v>3</v>
      </c>
      <c r="K8" s="24"/>
      <c r="L8" s="24"/>
    </row>
    <row r="9" spans="1:22" ht="16" thickBot="1" x14ac:dyDescent="0.25">
      <c r="A9" s="24"/>
      <c r="B9" s="13" t="s">
        <v>4</v>
      </c>
      <c r="C9" s="59">
        <v>8</v>
      </c>
      <c r="K9" s="24"/>
      <c r="L9" s="24"/>
    </row>
    <row r="10" spans="1:22" ht="16" customHeight="1" x14ac:dyDescent="0.2">
      <c r="A10" s="24"/>
      <c r="B10" s="24"/>
      <c r="C10" s="26"/>
      <c r="D10" s="24"/>
      <c r="E10" s="24"/>
      <c r="F10" s="24"/>
      <c r="G10" s="24"/>
      <c r="H10" s="24"/>
      <c r="I10" s="227" t="s">
        <v>275</v>
      </c>
      <c r="J10" s="227"/>
      <c r="K10" s="227"/>
      <c r="L10" s="227"/>
    </row>
    <row r="11" spans="1:22" ht="16" customHeight="1" x14ac:dyDescent="0.2">
      <c r="A11" s="24"/>
      <c r="B11" s="25" t="s">
        <v>257</v>
      </c>
      <c r="C11" s="24"/>
      <c r="D11" s="24"/>
      <c r="E11" s="24"/>
      <c r="F11" s="24"/>
      <c r="G11" s="24"/>
      <c r="H11" s="24"/>
      <c r="I11" s="227"/>
      <c r="J11" s="227"/>
      <c r="K11" s="227"/>
      <c r="L11" s="227"/>
    </row>
    <row r="12" spans="1:22" ht="22" customHeight="1" x14ac:dyDescent="0.2">
      <c r="A12" s="24"/>
      <c r="B12" s="130" t="s">
        <v>69</v>
      </c>
      <c r="I12" s="227"/>
      <c r="J12" s="227"/>
      <c r="K12" s="227"/>
      <c r="L12" s="227"/>
      <c r="M12" s="131"/>
      <c r="N12" s="131"/>
      <c r="O12" s="131"/>
      <c r="P12" s="131"/>
      <c r="Q12" s="131"/>
      <c r="R12" s="131"/>
      <c r="S12" s="131"/>
      <c r="T12" s="131"/>
      <c r="U12" s="131"/>
      <c r="V12" s="131"/>
    </row>
    <row r="13" spans="1:22" ht="33" customHeight="1" thickBot="1" x14ac:dyDescent="0.25">
      <c r="A13" s="24"/>
      <c r="C13" s="9" t="s">
        <v>46</v>
      </c>
      <c r="F13" s="61" t="s">
        <v>95</v>
      </c>
      <c r="G13" s="61" t="s">
        <v>231</v>
      </c>
      <c r="H13" s="62" t="s">
        <v>96</v>
      </c>
      <c r="I13" s="91" t="s">
        <v>205</v>
      </c>
      <c r="J13" s="91" t="s">
        <v>18</v>
      </c>
      <c r="K13" s="91" t="s">
        <v>201</v>
      </c>
      <c r="L13" s="91" t="s">
        <v>202</v>
      </c>
    </row>
    <row r="14" spans="1:22" ht="16" thickBot="1" x14ac:dyDescent="0.25">
      <c r="A14" s="13" t="s">
        <v>26</v>
      </c>
      <c r="B14" t="s">
        <v>31</v>
      </c>
      <c r="C14" s="71">
        <v>150</v>
      </c>
      <c r="E14" t="s">
        <v>31</v>
      </c>
      <c r="F14" s="59">
        <v>2</v>
      </c>
      <c r="G14" s="59">
        <v>30</v>
      </c>
      <c r="H14" s="95">
        <f>C14*G14*F14*12</f>
        <v>108000</v>
      </c>
      <c r="I14" s="96">
        <v>100</v>
      </c>
      <c r="J14" s="63">
        <v>1</v>
      </c>
      <c r="K14" s="63">
        <v>0.1</v>
      </c>
      <c r="L14" s="97">
        <f>I14*J14*K14*$H$5</f>
        <v>40000</v>
      </c>
    </row>
    <row r="15" spans="1:22" ht="16" thickBot="1" x14ac:dyDescent="0.25">
      <c r="A15" s="13" t="s">
        <v>29</v>
      </c>
      <c r="B15" t="s">
        <v>32</v>
      </c>
      <c r="C15" s="71">
        <v>59</v>
      </c>
      <c r="D15" s="16"/>
      <c r="E15" t="s">
        <v>32</v>
      </c>
      <c r="F15" s="59">
        <v>2</v>
      </c>
      <c r="G15" s="59">
        <v>80</v>
      </c>
      <c r="H15" s="95">
        <f t="shared" ref="H15:H21" si="0">C15*G15*F15*12</f>
        <v>113280</v>
      </c>
      <c r="I15" s="96">
        <v>70</v>
      </c>
      <c r="J15" s="63">
        <v>0.9</v>
      </c>
      <c r="K15" s="63">
        <v>0.5</v>
      </c>
      <c r="L15" s="97">
        <f t="shared" ref="L15:L19" si="1">I15*J15*K15*$H$5</f>
        <v>126000</v>
      </c>
    </row>
    <row r="16" spans="1:22" ht="16" thickBot="1" x14ac:dyDescent="0.25">
      <c r="A16" s="13" t="s">
        <v>30</v>
      </c>
      <c r="B16" t="s">
        <v>7</v>
      </c>
      <c r="C16" s="71">
        <v>59</v>
      </c>
      <c r="E16" t="s">
        <v>7</v>
      </c>
      <c r="F16" s="59">
        <v>2</v>
      </c>
      <c r="G16" s="59">
        <v>80</v>
      </c>
      <c r="H16" s="95">
        <f t="shared" si="0"/>
        <v>113280</v>
      </c>
      <c r="I16" s="96">
        <v>50</v>
      </c>
      <c r="J16" s="63">
        <v>0.75</v>
      </c>
      <c r="K16" s="63">
        <v>0.35</v>
      </c>
      <c r="L16" s="97">
        <f t="shared" si="1"/>
        <v>52500</v>
      </c>
    </row>
    <row r="17" spans="1:12" ht="16" thickBot="1" x14ac:dyDescent="0.25">
      <c r="A17" s="13" t="s">
        <v>8</v>
      </c>
      <c r="B17" t="s">
        <v>33</v>
      </c>
      <c r="C17" s="71">
        <v>25</v>
      </c>
      <c r="E17" t="s">
        <v>33</v>
      </c>
      <c r="F17" s="59">
        <v>2</v>
      </c>
      <c r="G17" s="59">
        <v>80</v>
      </c>
      <c r="H17" s="95">
        <f t="shared" si="0"/>
        <v>48000</v>
      </c>
      <c r="I17" s="96"/>
      <c r="J17" s="63"/>
      <c r="K17" s="63"/>
      <c r="L17" s="97">
        <f t="shared" si="1"/>
        <v>0</v>
      </c>
    </row>
    <row r="18" spans="1:12" ht="16" thickBot="1" x14ac:dyDescent="0.25">
      <c r="A18" s="13" t="s">
        <v>10</v>
      </c>
      <c r="B18" t="s">
        <v>34</v>
      </c>
      <c r="C18" s="71">
        <v>50</v>
      </c>
      <c r="E18" t="s">
        <v>34</v>
      </c>
      <c r="F18" s="59"/>
      <c r="G18" s="59"/>
      <c r="H18" s="95">
        <f t="shared" si="0"/>
        <v>0</v>
      </c>
      <c r="I18" s="96"/>
      <c r="J18" s="63"/>
      <c r="K18" s="63"/>
      <c r="L18" s="97">
        <f t="shared" si="1"/>
        <v>0</v>
      </c>
    </row>
    <row r="19" spans="1:12" ht="16" thickBot="1" x14ac:dyDescent="0.25">
      <c r="A19" s="13" t="s">
        <v>27</v>
      </c>
      <c r="B19" t="s">
        <v>35</v>
      </c>
      <c r="C19" s="71">
        <v>20</v>
      </c>
      <c r="E19" t="s">
        <v>35</v>
      </c>
      <c r="F19" s="59">
        <v>1</v>
      </c>
      <c r="G19" s="59">
        <v>40</v>
      </c>
      <c r="H19" s="95">
        <f t="shared" si="0"/>
        <v>9600</v>
      </c>
      <c r="I19" s="96">
        <v>65</v>
      </c>
      <c r="J19" s="63">
        <v>0.8</v>
      </c>
      <c r="K19" s="63">
        <v>0.03</v>
      </c>
      <c r="L19" s="97">
        <f t="shared" si="1"/>
        <v>6240</v>
      </c>
    </row>
    <row r="20" spans="1:12" ht="16" thickBot="1" x14ac:dyDescent="0.25">
      <c r="A20" s="27" t="s">
        <v>28</v>
      </c>
      <c r="B20" t="s">
        <v>9</v>
      </c>
      <c r="C20" s="71">
        <v>10</v>
      </c>
      <c r="E20" t="s">
        <v>9</v>
      </c>
      <c r="F20" s="59">
        <v>5</v>
      </c>
      <c r="G20" s="59">
        <v>20</v>
      </c>
      <c r="H20" s="95">
        <f t="shared" si="0"/>
        <v>12000</v>
      </c>
      <c r="I20" s="96">
        <v>40</v>
      </c>
      <c r="J20" s="63">
        <v>0.5</v>
      </c>
      <c r="K20" s="63">
        <v>0.02</v>
      </c>
      <c r="L20" s="97">
        <f>I20*J20*K20*$H$5</f>
        <v>1600</v>
      </c>
    </row>
    <row r="21" spans="1:12" ht="16" thickBot="1" x14ac:dyDescent="0.25">
      <c r="A21" s="28" t="s">
        <v>22</v>
      </c>
      <c r="B21" t="s">
        <v>37</v>
      </c>
      <c r="C21" s="71">
        <v>0</v>
      </c>
      <c r="E21" t="s">
        <v>37</v>
      </c>
      <c r="F21" s="59"/>
      <c r="G21" s="59"/>
      <c r="H21" s="95">
        <f t="shared" si="0"/>
        <v>0</v>
      </c>
      <c r="I21" s="96"/>
      <c r="J21" s="63"/>
      <c r="K21" s="63"/>
      <c r="L21" s="97">
        <f>I21*J21*K21*$H$5</f>
        <v>0</v>
      </c>
    </row>
    <row r="22" spans="1:12" ht="16" thickBot="1" x14ac:dyDescent="0.25">
      <c r="A22" s="24"/>
      <c r="E22" s="76" t="s">
        <v>5</v>
      </c>
      <c r="F22" s="138">
        <f>SUM(F14:F21)</f>
        <v>14</v>
      </c>
      <c r="G22" s="95"/>
      <c r="H22" s="95">
        <f>SUM(H14:H21)</f>
        <v>404160</v>
      </c>
      <c r="I22" s="95">
        <f>AVERAGE(I14:I21)</f>
        <v>65</v>
      </c>
      <c r="J22" s="139">
        <f>AVERAGE(J14:J21)</f>
        <v>0.79</v>
      </c>
      <c r="K22" s="140">
        <f>SUM(K14:K21)</f>
        <v>1</v>
      </c>
      <c r="L22" s="97">
        <f>SUM(L14:L21)</f>
        <v>226340</v>
      </c>
    </row>
    <row r="23" spans="1:12" ht="16" x14ac:dyDescent="0.2">
      <c r="A23" s="24"/>
      <c r="B23" s="11"/>
      <c r="H23" s="39"/>
      <c r="K23" s="137" t="s">
        <v>232</v>
      </c>
    </row>
    <row r="24" spans="1:12" ht="16" x14ac:dyDescent="0.2">
      <c r="A24" s="24"/>
      <c r="B24" s="11" t="s">
        <v>48</v>
      </c>
      <c r="H24" s="39"/>
    </row>
    <row r="25" spans="1:12" ht="17" thickBot="1" x14ac:dyDescent="0.25">
      <c r="A25" s="24"/>
      <c r="B25" s="130" t="s">
        <v>69</v>
      </c>
      <c r="H25" s="39"/>
      <c r="I25" s="21"/>
    </row>
    <row r="26" spans="1:12" ht="16" thickBot="1" x14ac:dyDescent="0.25">
      <c r="A26" s="27" t="s">
        <v>24</v>
      </c>
      <c r="B26" t="s">
        <v>36</v>
      </c>
      <c r="C26" s="70">
        <v>40</v>
      </c>
      <c r="E26" t="s">
        <v>36</v>
      </c>
      <c r="F26" s="98">
        <v>1</v>
      </c>
      <c r="G26" s="99">
        <v>100</v>
      </c>
      <c r="H26" s="97">
        <f>C26*G26*F26*12</f>
        <v>48000</v>
      </c>
      <c r="J26" s="43"/>
      <c r="K26" s="24"/>
    </row>
    <row r="27" spans="1:12" ht="16" thickBot="1" x14ac:dyDescent="0.25">
      <c r="A27" s="27" t="s">
        <v>49</v>
      </c>
      <c r="B27" t="s">
        <v>50</v>
      </c>
      <c r="C27" s="70">
        <v>35</v>
      </c>
      <c r="E27" t="s">
        <v>50</v>
      </c>
      <c r="F27" s="98">
        <v>2</v>
      </c>
      <c r="G27" s="99">
        <v>10</v>
      </c>
      <c r="H27" s="97">
        <f t="shared" ref="H27:H28" si="2">C27*G27*F27*12</f>
        <v>8400</v>
      </c>
      <c r="K27" s="24"/>
    </row>
    <row r="28" spans="1:12" ht="16" thickBot="1" x14ac:dyDescent="0.25">
      <c r="A28" s="28" t="s">
        <v>25</v>
      </c>
      <c r="B28" t="s">
        <v>70</v>
      </c>
      <c r="C28" s="70">
        <v>0</v>
      </c>
      <c r="E28" t="s">
        <v>70</v>
      </c>
      <c r="F28" s="98"/>
      <c r="G28" s="99"/>
      <c r="H28" s="97">
        <f t="shared" si="2"/>
        <v>0</v>
      </c>
      <c r="K28" s="24"/>
    </row>
    <row r="29" spans="1:12" ht="16" thickBot="1" x14ac:dyDescent="0.25">
      <c r="A29" s="28"/>
      <c r="C29" s="29"/>
      <c r="E29" s="48" t="s">
        <v>51</v>
      </c>
      <c r="F29" s="141">
        <f>SUM(F26:F28)</f>
        <v>3</v>
      </c>
      <c r="G29" s="95"/>
      <c r="H29" s="97">
        <f>SUM(H26:H28)</f>
        <v>56400</v>
      </c>
      <c r="K29" s="24"/>
    </row>
    <row r="30" spans="1:12" x14ac:dyDescent="0.2">
      <c r="A30" s="28"/>
      <c r="C30" s="29"/>
      <c r="F30" s="30"/>
      <c r="G30" s="31"/>
      <c r="H30" s="32"/>
      <c r="K30" s="24"/>
    </row>
    <row r="31" spans="1:12" ht="16" x14ac:dyDescent="0.2">
      <c r="A31" s="24"/>
      <c r="B31" s="11" t="s">
        <v>52</v>
      </c>
      <c r="K31" s="24"/>
    </row>
    <row r="32" spans="1:12" ht="20" customHeight="1" thickBot="1" x14ac:dyDescent="0.25">
      <c r="A32" s="24"/>
      <c r="B32" s="10"/>
      <c r="C32" s="15"/>
      <c r="D32" s="10" t="s">
        <v>132</v>
      </c>
    </row>
    <row r="33" spans="1:12" ht="36" customHeight="1" thickBot="1" x14ac:dyDescent="0.25">
      <c r="A33" s="24"/>
      <c r="B33" s="13" t="s">
        <v>38</v>
      </c>
      <c r="C33" s="100">
        <v>19</v>
      </c>
      <c r="D33" s="15"/>
      <c r="E33" s="60" t="s">
        <v>258</v>
      </c>
      <c r="F33" s="98">
        <f>F22</f>
        <v>14</v>
      </c>
      <c r="G33" s="60" t="s">
        <v>11</v>
      </c>
      <c r="H33" s="101">
        <f>C33*F33*52.14</f>
        <v>13869.24</v>
      </c>
      <c r="K33" s="24"/>
      <c r="L33" s="24"/>
    </row>
    <row r="34" spans="1:12" ht="33" thickBot="1" x14ac:dyDescent="0.25">
      <c r="A34" s="24"/>
      <c r="B34" s="130" t="s">
        <v>13</v>
      </c>
      <c r="C34" s="15"/>
      <c r="G34" s="60" t="s">
        <v>12</v>
      </c>
      <c r="H34" s="102">
        <f>H33*C35</f>
        <v>8182.8515999999991</v>
      </c>
      <c r="K34" s="24"/>
      <c r="L34" s="24"/>
    </row>
    <row r="35" spans="1:12" ht="16" thickBot="1" x14ac:dyDescent="0.25">
      <c r="A35" s="24"/>
      <c r="B35" s="23" t="s">
        <v>238</v>
      </c>
      <c r="C35" s="103">
        <v>0.59</v>
      </c>
      <c r="G35" s="13" t="s">
        <v>68</v>
      </c>
      <c r="H35" s="102">
        <f>C36*F33*52.14</f>
        <v>6569.64</v>
      </c>
      <c r="K35" s="24"/>
      <c r="L35" s="24"/>
    </row>
    <row r="36" spans="1:12" ht="16" thickBot="1" x14ac:dyDescent="0.25">
      <c r="A36" s="24"/>
      <c r="B36" s="23" t="s">
        <v>39</v>
      </c>
      <c r="C36" s="103">
        <v>9</v>
      </c>
      <c r="D36" s="24"/>
      <c r="E36" s="24"/>
      <c r="G36" s="77" t="s">
        <v>259</v>
      </c>
      <c r="H36" s="102">
        <f>H35+H34</f>
        <v>14752.491599999999</v>
      </c>
      <c r="K36" s="24"/>
      <c r="L36" s="24"/>
    </row>
    <row r="37" spans="1:12" x14ac:dyDescent="0.2">
      <c r="A37" s="24"/>
      <c r="D37" s="24"/>
      <c r="E37" s="24"/>
      <c r="K37" s="24"/>
      <c r="L37" s="24"/>
    </row>
    <row r="38" spans="1:12" ht="16" x14ac:dyDescent="0.2">
      <c r="A38" s="24"/>
      <c r="B38" s="11" t="s">
        <v>260</v>
      </c>
      <c r="C38" s="9"/>
      <c r="K38" s="24"/>
      <c r="L38" s="24"/>
    </row>
    <row r="39" spans="1:12" ht="17" thickBot="1" x14ac:dyDescent="0.25">
      <c r="A39" s="24"/>
      <c r="B39" s="130" t="s">
        <v>44</v>
      </c>
      <c r="C39" s="9"/>
      <c r="K39" s="24"/>
      <c r="L39" s="24"/>
    </row>
    <row r="40" spans="1:12" ht="17" thickBot="1" x14ac:dyDescent="0.25">
      <c r="A40" s="24"/>
      <c r="B40" s="13" t="s">
        <v>40</v>
      </c>
      <c r="C40" s="104">
        <v>19</v>
      </c>
      <c r="G40" s="13" t="s">
        <v>14</v>
      </c>
      <c r="H40" s="105">
        <f>SUM(C40:C42)</f>
        <v>49</v>
      </c>
      <c r="K40" s="24"/>
      <c r="L40" s="24"/>
    </row>
    <row r="41" spans="1:12" ht="17" thickBot="1" x14ac:dyDescent="0.25">
      <c r="A41" s="24"/>
      <c r="B41" s="13" t="s">
        <v>23</v>
      </c>
      <c r="C41" s="103">
        <v>30</v>
      </c>
      <c r="G41" s="76" t="s">
        <v>15</v>
      </c>
      <c r="H41" s="106">
        <f>H40*H5</f>
        <v>196000</v>
      </c>
      <c r="K41" s="24"/>
      <c r="L41" s="24"/>
    </row>
    <row r="42" spans="1:12" ht="16" thickBot="1" x14ac:dyDescent="0.25">
      <c r="A42" s="24"/>
      <c r="B42" s="23" t="s">
        <v>239</v>
      </c>
      <c r="C42" s="103">
        <v>0</v>
      </c>
      <c r="G42" s="13"/>
      <c r="H42" s="43"/>
      <c r="K42" s="24"/>
      <c r="L42" s="24"/>
    </row>
    <row r="43" spans="1:12" ht="16" x14ac:dyDescent="0.2">
      <c r="A43" s="24"/>
      <c r="B43" s="24"/>
      <c r="D43" s="24"/>
      <c r="E43" s="24"/>
      <c r="G43" s="24"/>
      <c r="H43" s="44"/>
      <c r="I43" s="24"/>
      <c r="J43" s="24"/>
      <c r="K43" s="24"/>
      <c r="L43" s="24"/>
    </row>
    <row r="44" spans="1:12" ht="16" x14ac:dyDescent="0.2">
      <c r="A44" s="24"/>
      <c r="B44" s="11" t="s">
        <v>53</v>
      </c>
      <c r="C44" s="9"/>
      <c r="H44" s="45"/>
      <c r="K44" s="24"/>
      <c r="L44" s="24"/>
    </row>
    <row r="45" spans="1:12" ht="17" thickBot="1" x14ac:dyDescent="0.25">
      <c r="A45" s="24"/>
      <c r="B45" s="130" t="s">
        <v>16</v>
      </c>
      <c r="C45" s="9"/>
      <c r="K45" s="24"/>
      <c r="L45" s="24"/>
    </row>
    <row r="46" spans="1:12" ht="16" thickBot="1" x14ac:dyDescent="0.25">
      <c r="A46" s="24"/>
      <c r="B46" s="28" t="s">
        <v>261</v>
      </c>
      <c r="C46" s="70">
        <v>50000</v>
      </c>
      <c r="K46" s="24"/>
      <c r="L46" s="24"/>
    </row>
    <row r="47" spans="1:12" ht="16" thickBot="1" x14ac:dyDescent="0.25">
      <c r="A47" s="24"/>
      <c r="B47" s="28" t="s">
        <v>137</v>
      </c>
      <c r="C47" s="107">
        <v>2000</v>
      </c>
      <c r="K47" s="24"/>
      <c r="L47" s="24"/>
    </row>
    <row r="48" spans="1:12" ht="16" thickBot="1" x14ac:dyDescent="0.25">
      <c r="A48" s="24"/>
      <c r="B48" s="13" t="s">
        <v>41</v>
      </c>
      <c r="C48" s="70">
        <v>4000</v>
      </c>
      <c r="K48" s="24"/>
      <c r="L48" s="24"/>
    </row>
    <row r="49" spans="1:12" ht="16" thickBot="1" x14ac:dyDescent="0.25">
      <c r="A49" s="24"/>
      <c r="B49" s="13" t="s">
        <v>42</v>
      </c>
      <c r="C49" s="70">
        <v>0</v>
      </c>
      <c r="K49" s="24"/>
      <c r="L49" s="24"/>
    </row>
    <row r="50" spans="1:12" ht="16" thickBot="1" x14ac:dyDescent="0.25">
      <c r="A50" s="24"/>
      <c r="B50" s="13" t="s">
        <v>43</v>
      </c>
      <c r="C50" s="70">
        <v>0</v>
      </c>
      <c r="K50" s="24"/>
      <c r="L50" s="24"/>
    </row>
    <row r="51" spans="1:12" ht="17" thickBot="1" x14ac:dyDescent="0.25">
      <c r="A51" s="24"/>
      <c r="B51" s="23" t="s">
        <v>239</v>
      </c>
      <c r="C51" s="70">
        <v>0</v>
      </c>
      <c r="G51" s="76" t="s">
        <v>17</v>
      </c>
      <c r="H51" s="106">
        <f>SUM(C46:C51)</f>
        <v>56000</v>
      </c>
      <c r="K51" s="24"/>
      <c r="L51" s="24"/>
    </row>
    <row r="52" spans="1:12" x14ac:dyDescent="0.2">
      <c r="A52" s="24"/>
      <c r="B52" s="24"/>
      <c r="D52" s="24"/>
      <c r="E52" s="24"/>
      <c r="G52" s="24"/>
      <c r="K52" s="24"/>
      <c r="L52" s="24"/>
    </row>
    <row r="53" spans="1:12" ht="16" x14ac:dyDescent="0.2">
      <c r="A53" s="24"/>
      <c r="B53" s="78" t="s">
        <v>134</v>
      </c>
      <c r="D53" s="24"/>
      <c r="E53" s="24"/>
      <c r="G53" s="24"/>
      <c r="H53" s="24"/>
      <c r="J53" s="43"/>
      <c r="K53" s="24"/>
      <c r="L53" s="24"/>
    </row>
    <row r="54" spans="1:12" ht="17" thickBot="1" x14ac:dyDescent="0.25">
      <c r="A54" s="24"/>
      <c r="B54" s="131" t="s">
        <v>262</v>
      </c>
      <c r="H54" s="24"/>
      <c r="I54" s="24"/>
      <c r="J54" s="24"/>
      <c r="K54" s="24"/>
      <c r="L54" s="24"/>
    </row>
    <row r="55" spans="1:12" ht="15" customHeight="1" thickBot="1" x14ac:dyDescent="0.25">
      <c r="A55" s="45"/>
      <c r="B55" s="28" t="s">
        <v>135</v>
      </c>
      <c r="C55" s="103">
        <v>5000</v>
      </c>
      <c r="G55" s="76" t="s">
        <v>114</v>
      </c>
      <c r="H55" s="106">
        <f>C55</f>
        <v>5000</v>
      </c>
      <c r="I55" s="24"/>
      <c r="J55" s="24"/>
      <c r="K55" s="24"/>
      <c r="L55" s="24"/>
    </row>
    <row r="56" spans="1:12" ht="15.75" customHeight="1" x14ac:dyDescent="0.2">
      <c r="A56" s="24"/>
      <c r="K56" s="24"/>
      <c r="L56" s="24"/>
    </row>
    <row r="57" spans="1:12" x14ac:dyDescent="0.2">
      <c r="A57" s="24"/>
      <c r="K57" s="24"/>
      <c r="L57" s="24"/>
    </row>
    <row r="58" spans="1:12" x14ac:dyDescent="0.2">
      <c r="A58" s="24"/>
    </row>
    <row r="59" spans="1:12" x14ac:dyDescent="0.2">
      <c r="A59" s="24"/>
    </row>
    <row r="60" spans="1:12" x14ac:dyDescent="0.2">
      <c r="A60" s="24"/>
    </row>
    <row r="61" spans="1:12" ht="15" customHeight="1" x14ac:dyDescent="0.2">
      <c r="A61" s="24"/>
    </row>
    <row r="62" spans="1:12" ht="15.75" customHeight="1" x14ac:dyDescent="0.2">
      <c r="A62" s="24"/>
    </row>
    <row r="63" spans="1:12" x14ac:dyDescent="0.2">
      <c r="A63" s="24"/>
      <c r="B63" s="24"/>
    </row>
    <row r="64" spans="1:12" x14ac:dyDescent="0.2">
      <c r="A64" s="24"/>
      <c r="K64" s="24"/>
      <c r="L64" s="24"/>
    </row>
    <row r="65" spans="1:12" x14ac:dyDescent="0.2">
      <c r="A65" s="24"/>
      <c r="K65" s="24"/>
      <c r="L65" s="24"/>
    </row>
    <row r="66" spans="1:12" x14ac:dyDescent="0.2">
      <c r="A66" s="24"/>
      <c r="I66" s="24"/>
      <c r="J66" s="24"/>
      <c r="K66" s="24"/>
      <c r="L66" s="24"/>
    </row>
    <row r="67" spans="1:12" x14ac:dyDescent="0.2">
      <c r="A67" s="24"/>
      <c r="K67" s="24"/>
      <c r="L67" s="24"/>
    </row>
    <row r="68" spans="1:12" x14ac:dyDescent="0.2">
      <c r="A68" s="24"/>
      <c r="K68" s="24"/>
      <c r="L68" s="24"/>
    </row>
    <row r="69" spans="1:12" x14ac:dyDescent="0.2">
      <c r="A69" s="24"/>
      <c r="K69" s="24"/>
      <c r="L69" s="24"/>
    </row>
    <row r="70" spans="1:12" x14ac:dyDescent="0.2">
      <c r="A70" s="24"/>
      <c r="K70" s="24"/>
      <c r="L70" s="24"/>
    </row>
    <row r="71" spans="1:12" x14ac:dyDescent="0.2">
      <c r="A71" s="24"/>
      <c r="K71" s="24"/>
      <c r="L71" s="24"/>
    </row>
    <row r="72" spans="1:12" ht="15" customHeight="1" x14ac:dyDescent="0.2">
      <c r="A72" s="24"/>
      <c r="I72" s="24"/>
      <c r="J72" s="24"/>
      <c r="K72" s="24"/>
      <c r="L72" s="24"/>
    </row>
    <row r="73" spans="1:12" ht="15.75" customHeight="1" x14ac:dyDescent="0.2">
      <c r="A73" s="24"/>
      <c r="K73" s="24"/>
      <c r="L73" s="24"/>
    </row>
    <row r="74" spans="1:12" x14ac:dyDescent="0.2">
      <c r="A74" s="24"/>
      <c r="K74" s="24"/>
      <c r="L74" s="24"/>
    </row>
    <row r="75" spans="1:12" x14ac:dyDescent="0.2">
      <c r="A75" s="24"/>
      <c r="K75" s="24"/>
      <c r="L75" s="24"/>
    </row>
    <row r="76" spans="1:12" x14ac:dyDescent="0.2">
      <c r="A76" s="24"/>
      <c r="K76" s="24"/>
      <c r="L76" s="24"/>
    </row>
    <row r="77" spans="1:12" x14ac:dyDescent="0.2">
      <c r="A77" s="24"/>
      <c r="K77" s="24"/>
      <c r="L77" s="24"/>
    </row>
    <row r="78" spans="1:12" x14ac:dyDescent="0.2">
      <c r="A78" s="24"/>
      <c r="K78" s="24"/>
      <c r="L78" s="24"/>
    </row>
    <row r="79" spans="1:12" x14ac:dyDescent="0.2">
      <c r="A79" s="24"/>
      <c r="K79" s="24"/>
      <c r="L79" s="24"/>
    </row>
    <row r="80" spans="1:12" x14ac:dyDescent="0.2">
      <c r="A80" s="24"/>
      <c r="K80" s="24"/>
      <c r="L80" s="24"/>
    </row>
    <row r="81" spans="1:18" x14ac:dyDescent="0.2">
      <c r="A81" s="24"/>
      <c r="K81" s="24"/>
      <c r="L81" s="24"/>
    </row>
    <row r="82" spans="1:18" x14ac:dyDescent="0.2">
      <c r="A82" s="24"/>
      <c r="K82" s="24"/>
      <c r="L82" s="24"/>
    </row>
    <row r="83" spans="1:18" x14ac:dyDescent="0.2">
      <c r="A83" s="24"/>
      <c r="K83" s="24"/>
      <c r="L83" s="24"/>
    </row>
    <row r="84" spans="1:18" x14ac:dyDescent="0.2">
      <c r="A84" s="24"/>
      <c r="B84" s="13"/>
      <c r="C84" s="21"/>
      <c r="K84" s="24"/>
      <c r="L84" s="24"/>
    </row>
    <row r="85" spans="1:18" x14ac:dyDescent="0.2">
      <c r="A85" s="24"/>
      <c r="B85" s="13"/>
      <c r="C85" s="21"/>
      <c r="K85" s="24"/>
      <c r="L85" s="24"/>
    </row>
    <row r="86" spans="1:18" x14ac:dyDescent="0.2">
      <c r="A86" s="24"/>
      <c r="B86" s="13"/>
      <c r="C86" s="21"/>
      <c r="K86" s="24"/>
      <c r="L86" s="24"/>
    </row>
    <row r="87" spans="1:18" x14ac:dyDescent="0.2">
      <c r="A87" s="24"/>
      <c r="K87" s="24"/>
      <c r="L87" s="24"/>
    </row>
    <row r="88" spans="1:18" x14ac:dyDescent="0.2">
      <c r="A88" s="24"/>
      <c r="K88" s="24"/>
      <c r="L88" s="24"/>
    </row>
    <row r="89" spans="1:18" x14ac:dyDescent="0.2">
      <c r="A89" s="24"/>
      <c r="K89" s="24"/>
      <c r="L89" s="24"/>
    </row>
    <row r="90" spans="1:18" x14ac:dyDescent="0.2">
      <c r="A90" s="24"/>
      <c r="I90" s="17"/>
      <c r="K90" s="24"/>
      <c r="L90" s="24"/>
    </row>
    <row r="91" spans="1:18" x14ac:dyDescent="0.2">
      <c r="A91" s="24"/>
      <c r="I91" s="17"/>
      <c r="K91" s="24"/>
      <c r="L91" s="24"/>
    </row>
    <row r="92" spans="1:18" x14ac:dyDescent="0.2">
      <c r="A92" s="24"/>
      <c r="K92" s="24"/>
      <c r="L92" s="24"/>
    </row>
    <row r="93" spans="1:18" x14ac:dyDescent="0.2">
      <c r="A93" s="24"/>
      <c r="K93" s="24"/>
      <c r="L93" s="24"/>
      <c r="Q93" s="19"/>
      <c r="R93" s="20"/>
    </row>
    <row r="94" spans="1:18" x14ac:dyDescent="0.2">
      <c r="A94" s="24"/>
      <c r="K94" s="24"/>
      <c r="L94" s="24"/>
      <c r="Q94" s="19"/>
      <c r="R94" s="20"/>
    </row>
    <row r="95" spans="1:18" x14ac:dyDescent="0.2">
      <c r="A95" s="24"/>
      <c r="K95" s="24"/>
      <c r="L95" s="24"/>
      <c r="Q95" s="19"/>
      <c r="R95" s="20"/>
    </row>
    <row r="96" spans="1:18" x14ac:dyDescent="0.2">
      <c r="A96" s="24"/>
      <c r="K96" s="24"/>
      <c r="L96" s="24"/>
      <c r="Q96" s="19"/>
      <c r="R96" s="20"/>
    </row>
    <row r="97" spans="1:18" x14ac:dyDescent="0.2">
      <c r="A97" s="24"/>
      <c r="F97" s="24"/>
      <c r="G97" s="24"/>
      <c r="I97" s="24"/>
      <c r="J97" s="24"/>
      <c r="K97" s="24"/>
      <c r="L97" s="24"/>
      <c r="Q97" s="19"/>
      <c r="R97" s="20"/>
    </row>
    <row r="98" spans="1:18" x14ac:dyDescent="0.2">
      <c r="H98" s="24"/>
      <c r="Q98" s="19"/>
      <c r="R98" s="20"/>
    </row>
    <row r="99" spans="1:18" x14ac:dyDescent="0.2">
      <c r="Q99" s="19"/>
      <c r="R99" s="20"/>
    </row>
    <row r="100" spans="1:18" x14ac:dyDescent="0.2">
      <c r="Q100" s="19"/>
      <c r="R100" s="20"/>
    </row>
    <row r="101" spans="1:18" x14ac:dyDescent="0.2">
      <c r="Q101" s="19"/>
      <c r="R101" s="20"/>
    </row>
  </sheetData>
  <mergeCells count="1">
    <mergeCell ref="I10:L12"/>
  </mergeCells>
  <conditionalFormatting sqref="K22">
    <cfRule type="cellIs" dxfId="2" priority="1" operator="greaterThan">
      <formula>1</formula>
    </cfRule>
    <cfRule type="cellIs" dxfId="1" priority="2" operator="lessThan">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10CE-1709-094A-B543-968C86DEA6BE}">
  <sheetPr>
    <tabColor theme="5" tint="0.79998168889431442"/>
  </sheetPr>
  <dimension ref="A1:I73"/>
  <sheetViews>
    <sheetView zoomScaleNormal="100" workbookViewId="0">
      <pane ySplit="2" topLeftCell="A3" activePane="bottomLeft" state="frozen"/>
      <selection pane="bottomLeft"/>
    </sheetView>
  </sheetViews>
  <sheetFormatPr baseColWidth="10" defaultColWidth="8.83203125" defaultRowHeight="16" x14ac:dyDescent="0.2"/>
  <cols>
    <col min="1" max="1" width="10.6640625" style="50" customWidth="1"/>
    <col min="2" max="2" width="51.5" style="50" customWidth="1"/>
    <col min="3" max="3" width="55.5" style="50" customWidth="1"/>
    <col min="4" max="4" width="28.6640625" style="50" customWidth="1"/>
    <col min="5" max="5" width="19.1640625" style="50" customWidth="1"/>
    <col min="6" max="6" width="18.5" style="50" customWidth="1"/>
    <col min="7" max="7" width="13.1640625" style="50" customWidth="1"/>
    <col min="8" max="8" width="40" style="50" customWidth="1"/>
    <col min="9" max="9" width="26.6640625" style="50" customWidth="1"/>
    <col min="10" max="16384" width="8.83203125" style="50"/>
  </cols>
  <sheetData>
    <row r="1" spans="1:9" ht="26" customHeight="1" x14ac:dyDescent="0.3">
      <c r="A1" s="199" t="s">
        <v>289</v>
      </c>
      <c r="C1" s="2"/>
    </row>
    <row r="2" spans="1:9" ht="22" customHeight="1" x14ac:dyDescent="0.25">
      <c r="A2" s="166" t="s">
        <v>290</v>
      </c>
      <c r="C2" s="146"/>
      <c r="D2" s="146"/>
      <c r="E2" s="146"/>
      <c r="F2" s="146"/>
      <c r="G2" s="146"/>
      <c r="H2" s="146"/>
      <c r="I2" s="146"/>
    </row>
    <row r="3" spans="1:9" ht="22" customHeight="1" x14ac:dyDescent="0.25">
      <c r="A3" s="166" t="s">
        <v>300</v>
      </c>
      <c r="C3" s="146"/>
      <c r="D3" s="146"/>
      <c r="E3" s="146"/>
      <c r="F3" s="146"/>
      <c r="G3" s="146"/>
      <c r="H3" s="146"/>
      <c r="I3" s="146"/>
    </row>
    <row r="4" spans="1:9" ht="22" customHeight="1" x14ac:dyDescent="0.25">
      <c r="A4" s="166" t="s">
        <v>323</v>
      </c>
      <c r="C4" s="146"/>
      <c r="D4" s="146"/>
      <c r="E4" s="146"/>
      <c r="F4" s="146"/>
      <c r="G4" s="146"/>
      <c r="H4" s="146"/>
      <c r="I4" s="146"/>
    </row>
    <row r="5" spans="1:9" ht="22" customHeight="1" x14ac:dyDescent="0.25">
      <c r="A5" s="166" t="s">
        <v>291</v>
      </c>
      <c r="C5" s="146"/>
      <c r="D5" s="146"/>
      <c r="E5" s="146"/>
      <c r="F5" s="146"/>
      <c r="G5" s="146"/>
      <c r="H5" s="146"/>
      <c r="I5" s="146"/>
    </row>
    <row r="6" spans="1:9" ht="22" customHeight="1" x14ac:dyDescent="0.25">
      <c r="A6" s="166" t="s">
        <v>292</v>
      </c>
      <c r="C6" s="146"/>
      <c r="D6" s="146"/>
      <c r="E6" s="146"/>
      <c r="F6" s="146"/>
      <c r="G6" s="146"/>
      <c r="H6" s="146"/>
      <c r="I6" s="146"/>
    </row>
    <row r="7" spans="1:9" ht="22" customHeight="1" x14ac:dyDescent="0.25">
      <c r="A7" s="166" t="s">
        <v>324</v>
      </c>
      <c r="C7" s="146"/>
      <c r="D7" s="146"/>
      <c r="E7" s="146"/>
      <c r="F7" s="146"/>
      <c r="G7" s="146"/>
      <c r="H7" s="146"/>
      <c r="I7" s="146"/>
    </row>
    <row r="8" spans="1:9" ht="29" customHeight="1" thickBot="1" x14ac:dyDescent="0.25">
      <c r="B8" s="42"/>
    </row>
    <row r="9" spans="1:9" ht="50" customHeight="1" thickBot="1" x14ac:dyDescent="0.25">
      <c r="A9" s="228" t="s">
        <v>331</v>
      </c>
      <c r="B9" s="229"/>
      <c r="C9" s="173">
        <v>4491</v>
      </c>
      <c r="D9" s="147"/>
      <c r="E9" s="148"/>
      <c r="F9" s="81"/>
      <c r="G9" s="81"/>
      <c r="H9" s="147"/>
    </row>
    <row r="10" spans="1:9" ht="27" customHeight="1" thickBot="1" x14ac:dyDescent="0.25">
      <c r="B10" s="185"/>
      <c r="C10" s="184"/>
      <c r="D10" s="147"/>
      <c r="E10" s="148"/>
      <c r="F10" s="81"/>
      <c r="G10" s="81"/>
      <c r="H10" s="147"/>
    </row>
    <row r="11" spans="1:9" ht="50" customHeight="1" thickBot="1" x14ac:dyDescent="0.25">
      <c r="A11" s="230" t="s">
        <v>321</v>
      </c>
      <c r="B11" s="231"/>
      <c r="C11" s="231"/>
      <c r="D11" s="231"/>
      <c r="E11" s="231"/>
      <c r="F11" s="231"/>
      <c r="G11" s="232"/>
      <c r="H11" s="147"/>
    </row>
    <row r="12" spans="1:9" ht="45" thickBot="1" x14ac:dyDescent="0.25">
      <c r="A12" s="235" t="s">
        <v>301</v>
      </c>
      <c r="B12" s="236"/>
      <c r="C12" s="198" t="s">
        <v>293</v>
      </c>
      <c r="D12" s="198" t="s">
        <v>294</v>
      </c>
      <c r="E12" s="198" t="s">
        <v>302</v>
      </c>
      <c r="F12" s="198" t="s">
        <v>295</v>
      </c>
      <c r="G12" s="198" t="s">
        <v>322</v>
      </c>
    </row>
    <row r="13" spans="1:9" customFormat="1" ht="50.25" customHeight="1" thickBot="1" x14ac:dyDescent="0.25">
      <c r="A13" s="237" t="s">
        <v>288</v>
      </c>
      <c r="B13" s="238"/>
      <c r="C13" s="187">
        <v>6</v>
      </c>
      <c r="D13" s="188">
        <f>SUM(E19:E24)</f>
        <v>11152.14</v>
      </c>
      <c r="E13" s="189">
        <f>MIN(F19:F49)</f>
        <v>-8263.08892626132</v>
      </c>
      <c r="F13" s="190">
        <v>4491</v>
      </c>
      <c r="G13" s="191">
        <v>13314</v>
      </c>
      <c r="H13" s="50"/>
      <c r="I13" s="50"/>
    </row>
    <row r="14" spans="1:9" s="52" customFormat="1" ht="65" customHeight="1" thickBot="1" x14ac:dyDescent="0.25">
      <c r="A14" s="239" t="s">
        <v>298</v>
      </c>
      <c r="B14" s="240"/>
      <c r="C14" s="187">
        <v>3</v>
      </c>
      <c r="D14" s="192">
        <f>SUM(E25:E27)</f>
        <v>19513.760000000002</v>
      </c>
      <c r="E14" s="190">
        <f>MIN(F26:F50)</f>
        <v>853.31711925158118</v>
      </c>
      <c r="F14" s="190">
        <f>AVERAGE(F26:F50)</f>
        <v>13115.630284631428</v>
      </c>
      <c r="G14" s="193">
        <v>13135</v>
      </c>
    </row>
    <row r="15" spans="1:9" s="52" customFormat="1" ht="47" customHeight="1" thickBot="1" x14ac:dyDescent="0.25">
      <c r="A15" s="241" t="s">
        <v>299</v>
      </c>
      <c r="B15" s="242"/>
      <c r="C15" s="194">
        <v>3</v>
      </c>
      <c r="D15" s="195">
        <f>SUM(E28:E30)</f>
        <v>857</v>
      </c>
      <c r="E15" s="196">
        <f>MIN(F28:F30)</f>
        <v>1519.3852289573322</v>
      </c>
      <c r="F15" s="196">
        <f>AVERAGE(F28:F30)</f>
        <v>7236.613029031204</v>
      </c>
      <c r="G15" s="197">
        <f>MAX(F28:F30)</f>
        <v>14762.995894782234</v>
      </c>
    </row>
    <row r="16" spans="1:9" s="52" customFormat="1" ht="47" customHeight="1" x14ac:dyDescent="0.2">
      <c r="B16" s="172"/>
      <c r="C16" s="169"/>
      <c r="D16" s="169"/>
      <c r="E16" s="169"/>
      <c r="F16" s="169"/>
      <c r="G16" s="169"/>
      <c r="H16" s="169"/>
    </row>
    <row r="17" spans="1:9" s="52" customFormat="1" ht="32" customHeight="1" thickBot="1" x14ac:dyDescent="0.25">
      <c r="A17" s="183"/>
      <c r="B17" s="233" t="s">
        <v>297</v>
      </c>
      <c r="C17" s="233"/>
      <c r="D17" s="233"/>
      <c r="E17" s="233"/>
      <c r="F17" s="233"/>
      <c r="G17" s="233"/>
      <c r="H17" s="233"/>
      <c r="I17" s="233"/>
    </row>
    <row r="18" spans="1:9" s="52" customFormat="1" ht="58" customHeight="1" thickBot="1" x14ac:dyDescent="0.3">
      <c r="A18" s="200" t="s">
        <v>301</v>
      </c>
      <c r="B18" s="200" t="s">
        <v>141</v>
      </c>
      <c r="C18" s="200" t="s">
        <v>179</v>
      </c>
      <c r="D18" s="200" t="s">
        <v>228</v>
      </c>
      <c r="E18" s="200" t="s">
        <v>229</v>
      </c>
      <c r="F18" s="200" t="s">
        <v>240</v>
      </c>
      <c r="G18" s="200" t="s">
        <v>61</v>
      </c>
      <c r="H18" s="200" t="s">
        <v>148</v>
      </c>
      <c r="I18" s="201" t="s">
        <v>60</v>
      </c>
    </row>
    <row r="19" spans="1:9" s="52" customFormat="1" ht="139" customHeight="1" thickBot="1" x14ac:dyDescent="0.25">
      <c r="A19" s="170" t="s">
        <v>318</v>
      </c>
      <c r="B19" s="152" t="s">
        <v>209</v>
      </c>
      <c r="C19" s="152" t="s">
        <v>174</v>
      </c>
      <c r="D19" s="152" t="s">
        <v>227</v>
      </c>
      <c r="E19" s="153">
        <v>6951</v>
      </c>
      <c r="F19" s="154">
        <v>9969.8508021695689</v>
      </c>
      <c r="G19" s="151" t="s">
        <v>62</v>
      </c>
      <c r="H19" s="159" t="s">
        <v>145</v>
      </c>
      <c r="I19" s="176" t="s">
        <v>304</v>
      </c>
    </row>
    <row r="20" spans="1:9" s="51" customFormat="1" ht="246" customHeight="1" thickBot="1" x14ac:dyDescent="0.25">
      <c r="A20" s="170" t="s">
        <v>318</v>
      </c>
      <c r="B20" s="152" t="s">
        <v>210</v>
      </c>
      <c r="C20" s="152" t="s">
        <v>177</v>
      </c>
      <c r="D20" s="152" t="s">
        <v>147</v>
      </c>
      <c r="E20" s="152">
        <v>722</v>
      </c>
      <c r="F20" s="154">
        <v>6222.5192794104269</v>
      </c>
      <c r="G20" s="151" t="s">
        <v>62</v>
      </c>
      <c r="H20" s="159" t="s">
        <v>146</v>
      </c>
      <c r="I20" s="176" t="s">
        <v>305</v>
      </c>
    </row>
    <row r="21" spans="1:9" s="51" customFormat="1" ht="171" customHeight="1" thickBot="1" x14ac:dyDescent="0.25">
      <c r="A21" s="170" t="s">
        <v>318</v>
      </c>
      <c r="B21" s="155" t="s">
        <v>173</v>
      </c>
      <c r="C21" s="152" t="s">
        <v>177</v>
      </c>
      <c r="D21" s="152" t="s">
        <v>188</v>
      </c>
      <c r="E21" s="156">
        <f>E20*0.37</f>
        <v>267.14</v>
      </c>
      <c r="F21" s="154">
        <v>13314.150606340252</v>
      </c>
      <c r="G21" s="151" t="s">
        <v>62</v>
      </c>
      <c r="H21" s="159" t="s">
        <v>149</v>
      </c>
      <c r="I21" s="176" t="s">
        <v>305</v>
      </c>
    </row>
    <row r="22" spans="1:9" customFormat="1" ht="113" thickBot="1" x14ac:dyDescent="0.25">
      <c r="A22" s="170" t="s">
        <v>318</v>
      </c>
      <c r="B22" s="149" t="s">
        <v>211</v>
      </c>
      <c r="C22" s="149" t="s">
        <v>178</v>
      </c>
      <c r="D22" s="149" t="s">
        <v>152</v>
      </c>
      <c r="E22" s="149">
        <v>1978</v>
      </c>
      <c r="F22" s="157">
        <v>933.8187342753148</v>
      </c>
      <c r="G22" s="151" t="s">
        <v>62</v>
      </c>
      <c r="H22" s="159" t="s">
        <v>139</v>
      </c>
      <c r="I22" s="176" t="s">
        <v>306</v>
      </c>
    </row>
    <row r="23" spans="1:9" s="52" customFormat="1" ht="170" customHeight="1" thickBot="1" x14ac:dyDescent="0.25">
      <c r="A23" s="170" t="s">
        <v>318</v>
      </c>
      <c r="B23" s="149" t="s">
        <v>212</v>
      </c>
      <c r="C23" s="149" t="s">
        <v>189</v>
      </c>
      <c r="D23" s="149" t="s">
        <v>140</v>
      </c>
      <c r="E23" s="149">
        <v>253</v>
      </c>
      <c r="F23" s="157">
        <v>5235.0519184445975</v>
      </c>
      <c r="G23" s="151" t="s">
        <v>62</v>
      </c>
      <c r="H23" s="159" t="s">
        <v>150</v>
      </c>
      <c r="I23" s="176" t="s">
        <v>307</v>
      </c>
    </row>
    <row r="24" spans="1:9" s="52" customFormat="1" ht="170" customHeight="1" thickBot="1" x14ac:dyDescent="0.25">
      <c r="A24" s="170" t="s">
        <v>318</v>
      </c>
      <c r="B24" s="149" t="s">
        <v>208</v>
      </c>
      <c r="C24" s="149" t="s">
        <v>175</v>
      </c>
      <c r="D24" s="149" t="s">
        <v>176</v>
      </c>
      <c r="E24" s="149">
        <v>981</v>
      </c>
      <c r="F24" s="150">
        <v>-8263.08892626132</v>
      </c>
      <c r="G24" s="151" t="s">
        <v>84</v>
      </c>
      <c r="H24" s="159" t="s">
        <v>190</v>
      </c>
      <c r="I24" s="176" t="s">
        <v>303</v>
      </c>
    </row>
    <row r="25" spans="1:9" s="52" customFormat="1" ht="170" customHeight="1" thickBot="1" x14ac:dyDescent="0.25">
      <c r="A25" s="167" t="s">
        <v>319</v>
      </c>
      <c r="B25" s="149" t="s">
        <v>217</v>
      </c>
      <c r="C25" s="158" t="s">
        <v>183</v>
      </c>
      <c r="D25" s="149" t="s">
        <v>155</v>
      </c>
      <c r="E25" s="149">
        <v>992</v>
      </c>
      <c r="F25" s="157">
        <v>1441.7790155682947</v>
      </c>
      <c r="G25" s="151" t="s">
        <v>62</v>
      </c>
      <c r="H25" s="159" t="s">
        <v>169</v>
      </c>
      <c r="I25" s="177" t="s">
        <v>312</v>
      </c>
    </row>
    <row r="26" spans="1:9" s="52" customFormat="1" ht="161" thickBot="1" x14ac:dyDescent="0.25">
      <c r="A26" s="167" t="s">
        <v>319</v>
      </c>
      <c r="B26" s="149" t="s">
        <v>216</v>
      </c>
      <c r="C26" s="149" t="s">
        <v>241</v>
      </c>
      <c r="D26" s="149" t="s">
        <v>170</v>
      </c>
      <c r="E26" s="149">
        <v>171</v>
      </c>
      <c r="F26" s="157">
        <v>13134.752978681347</v>
      </c>
      <c r="G26" s="151" t="s">
        <v>62</v>
      </c>
      <c r="H26" s="159" t="s">
        <v>171</v>
      </c>
      <c r="I26" s="177" t="s">
        <v>311</v>
      </c>
    </row>
    <row r="27" spans="1:9" s="53" customFormat="1" ht="138" customHeight="1" thickBot="1" x14ac:dyDescent="0.25">
      <c r="A27" s="167" t="s">
        <v>319</v>
      </c>
      <c r="B27" s="159" t="s">
        <v>218</v>
      </c>
      <c r="C27" s="160" t="s">
        <v>164</v>
      </c>
      <c r="D27" s="159" t="s">
        <v>144</v>
      </c>
      <c r="E27" s="161">
        <f>0.93*19732</f>
        <v>18350.760000000002</v>
      </c>
      <c r="F27" s="162">
        <v>853.31711925158118</v>
      </c>
      <c r="G27" s="163" t="s">
        <v>62</v>
      </c>
      <c r="H27" s="159" t="s">
        <v>168</v>
      </c>
      <c r="I27" s="177" t="s">
        <v>313</v>
      </c>
    </row>
    <row r="28" spans="1:9" s="52" customFormat="1" ht="174" customHeight="1" thickBot="1" x14ac:dyDescent="0.25">
      <c r="A28" s="168" t="s">
        <v>320</v>
      </c>
      <c r="B28" s="149" t="s">
        <v>220</v>
      </c>
      <c r="C28" s="149" t="s">
        <v>185</v>
      </c>
      <c r="D28" s="159" t="s">
        <v>144</v>
      </c>
      <c r="E28" s="149">
        <v>304</v>
      </c>
      <c r="F28" s="157">
        <v>5427.457963354047</v>
      </c>
      <c r="G28" s="151" t="s">
        <v>84</v>
      </c>
      <c r="H28" s="159" t="s">
        <v>167</v>
      </c>
      <c r="I28" s="178" t="s">
        <v>315</v>
      </c>
    </row>
    <row r="29" spans="1:9" s="52" customFormat="1" ht="174" customHeight="1" thickBot="1" x14ac:dyDescent="0.25">
      <c r="A29" s="168" t="s">
        <v>320</v>
      </c>
      <c r="B29" s="152" t="s">
        <v>207</v>
      </c>
      <c r="C29" s="152" t="s">
        <v>187</v>
      </c>
      <c r="D29" s="149" t="s">
        <v>157</v>
      </c>
      <c r="E29" s="149">
        <v>376</v>
      </c>
      <c r="F29" s="157">
        <v>1519.3852289573322</v>
      </c>
      <c r="G29" s="151" t="s">
        <v>84</v>
      </c>
      <c r="H29" s="159" t="s">
        <v>165</v>
      </c>
      <c r="I29" s="179" t="s">
        <v>317</v>
      </c>
    </row>
    <row r="30" spans="1:9" s="52" customFormat="1" ht="192" customHeight="1" thickBot="1" x14ac:dyDescent="0.25">
      <c r="A30" s="168" t="s">
        <v>320</v>
      </c>
      <c r="B30" s="149" t="s">
        <v>221</v>
      </c>
      <c r="C30" s="149" t="s">
        <v>186</v>
      </c>
      <c r="D30" s="149" t="s">
        <v>154</v>
      </c>
      <c r="E30" s="149">
        <v>177</v>
      </c>
      <c r="F30" s="157">
        <v>14762.995894782234</v>
      </c>
      <c r="G30" s="151" t="s">
        <v>84</v>
      </c>
      <c r="H30" s="175" t="s">
        <v>166</v>
      </c>
      <c r="I30" s="174" t="s">
        <v>316</v>
      </c>
    </row>
    <row r="31" spans="1:9" s="52" customFormat="1" ht="17" x14ac:dyDescent="0.2">
      <c r="B31" s="55" t="s">
        <v>89</v>
      </c>
      <c r="C31" s="164"/>
      <c r="D31" s="54"/>
      <c r="E31" s="54"/>
      <c r="F31" s="54"/>
      <c r="G31" s="54"/>
      <c r="H31" s="54"/>
      <c r="I31" s="54"/>
    </row>
    <row r="32" spans="1:9" s="52" customFormat="1" x14ac:dyDescent="0.2">
      <c r="B32" s="40" t="s">
        <v>63</v>
      </c>
      <c r="C32" s="40"/>
      <c r="D32" s="54"/>
      <c r="E32" s="54"/>
      <c r="F32" s="54"/>
      <c r="G32" s="54"/>
      <c r="H32" s="54"/>
      <c r="I32" s="54"/>
    </row>
    <row r="33" spans="1:9" s="52" customFormat="1" x14ac:dyDescent="0.2">
      <c r="B33" s="41" t="s">
        <v>64</v>
      </c>
      <c r="C33" s="41"/>
      <c r="D33" s="51"/>
      <c r="E33" s="51"/>
      <c r="F33" s="51"/>
      <c r="G33" s="51"/>
      <c r="H33" s="51"/>
      <c r="I33" s="51"/>
    </row>
    <row r="34" spans="1:9" s="52" customFormat="1" x14ac:dyDescent="0.2">
      <c r="B34" s="41" t="s">
        <v>65</v>
      </c>
      <c r="C34" s="41"/>
      <c r="D34" s="51"/>
      <c r="E34" s="51"/>
      <c r="F34" s="51"/>
      <c r="G34" s="51"/>
      <c r="H34" s="51"/>
      <c r="I34" s="51"/>
    </row>
    <row r="35" spans="1:9" s="52" customFormat="1" x14ac:dyDescent="0.2">
      <c r="B35" s="94" t="s">
        <v>249</v>
      </c>
      <c r="C35" s="94"/>
      <c r="D35" s="51"/>
      <c r="E35" s="51"/>
      <c r="F35" s="51"/>
      <c r="G35" s="51"/>
      <c r="H35" s="51"/>
      <c r="I35" s="51"/>
    </row>
    <row r="36" spans="1:9" s="52" customFormat="1" x14ac:dyDescent="0.2">
      <c r="B36" s="129" t="s">
        <v>251</v>
      </c>
      <c r="C36" s="129"/>
      <c r="D36" s="51"/>
      <c r="E36" s="51"/>
      <c r="F36" s="51"/>
      <c r="G36" s="51"/>
      <c r="H36" s="51"/>
      <c r="I36" s="51"/>
    </row>
    <row r="37" spans="1:9" s="52" customFormat="1" x14ac:dyDescent="0.2">
      <c r="B37" s="56" t="s">
        <v>90</v>
      </c>
      <c r="C37" s="56"/>
      <c r="D37" s="51"/>
      <c r="E37" s="51"/>
      <c r="F37" s="51"/>
      <c r="G37" s="51"/>
      <c r="H37" s="51"/>
      <c r="I37" s="51"/>
    </row>
    <row r="38" spans="1:9" s="52" customFormat="1" x14ac:dyDescent="0.2">
      <c r="B38" s="127" t="s">
        <v>250</v>
      </c>
      <c r="C38" s="127"/>
      <c r="D38" s="51"/>
      <c r="E38" s="51"/>
      <c r="F38" s="51"/>
      <c r="G38" s="51"/>
      <c r="H38" s="51"/>
      <c r="I38" s="51"/>
    </row>
    <row r="39" spans="1:9" x14ac:dyDescent="0.2">
      <c r="B39" s="128" t="s">
        <v>248</v>
      </c>
      <c r="C39" s="128"/>
    </row>
    <row r="40" spans="1:9" s="52" customFormat="1" x14ac:dyDescent="0.2">
      <c r="D40" s="51"/>
      <c r="E40" s="51"/>
      <c r="F40" s="51"/>
      <c r="G40" s="51"/>
      <c r="H40" s="51"/>
      <c r="I40" s="51"/>
    </row>
    <row r="41" spans="1:9" s="52" customFormat="1" x14ac:dyDescent="0.2">
      <c r="D41" s="51"/>
      <c r="E41" s="51"/>
      <c r="F41" s="51"/>
      <c r="G41" s="51"/>
      <c r="H41" s="51"/>
      <c r="I41" s="51"/>
    </row>
    <row r="42" spans="1:9" s="52" customFormat="1" x14ac:dyDescent="0.2">
      <c r="D42" s="51"/>
      <c r="E42" s="51"/>
      <c r="F42" s="51"/>
      <c r="G42" s="51"/>
      <c r="H42" s="51"/>
      <c r="I42" s="51"/>
    </row>
    <row r="43" spans="1:9" s="52" customFormat="1" x14ac:dyDescent="0.2">
      <c r="D43" s="51"/>
      <c r="E43" s="51"/>
      <c r="F43" s="51"/>
      <c r="G43" s="51"/>
      <c r="H43" s="51"/>
      <c r="I43" s="51"/>
    </row>
    <row r="44" spans="1:9" s="52" customFormat="1" x14ac:dyDescent="0.2">
      <c r="D44" s="51"/>
      <c r="E44" s="51"/>
      <c r="F44" s="51"/>
      <c r="G44" s="51"/>
      <c r="H44" s="51"/>
      <c r="I44" s="51"/>
    </row>
    <row r="45" spans="1:9" s="52" customFormat="1" ht="27" thickBot="1" x14ac:dyDescent="0.25">
      <c r="A45" s="183"/>
      <c r="B45" s="233" t="s">
        <v>325</v>
      </c>
      <c r="C45" s="234"/>
      <c r="D45" s="234"/>
      <c r="E45" s="234"/>
      <c r="F45" s="234"/>
      <c r="G45" s="234"/>
      <c r="H45" s="234"/>
      <c r="I45" s="234"/>
    </row>
    <row r="46" spans="1:9" s="52" customFormat="1" ht="61" thickBot="1" x14ac:dyDescent="0.3">
      <c r="A46" s="180" t="s">
        <v>301</v>
      </c>
      <c r="B46" s="180" t="s">
        <v>141</v>
      </c>
      <c r="C46" s="180" t="s">
        <v>179</v>
      </c>
      <c r="D46" s="180" t="s">
        <v>228</v>
      </c>
      <c r="E46" s="180" t="s">
        <v>229</v>
      </c>
      <c r="F46" s="180" t="s">
        <v>240</v>
      </c>
      <c r="G46" s="181" t="s">
        <v>61</v>
      </c>
      <c r="H46" s="181" t="s">
        <v>148</v>
      </c>
      <c r="I46" s="182" t="s">
        <v>60</v>
      </c>
    </row>
    <row r="47" spans="1:9" s="52" customFormat="1" ht="145" thickBot="1" x14ac:dyDescent="0.25">
      <c r="A47" s="170" t="s">
        <v>318</v>
      </c>
      <c r="B47" s="149" t="s">
        <v>213</v>
      </c>
      <c r="C47" s="149" t="s">
        <v>180</v>
      </c>
      <c r="D47" s="149" t="s">
        <v>152</v>
      </c>
      <c r="E47" s="149">
        <v>153</v>
      </c>
      <c r="F47" s="157">
        <v>25835.516064657491</v>
      </c>
      <c r="G47" s="151" t="s">
        <v>86</v>
      </c>
      <c r="H47" s="159" t="s">
        <v>151</v>
      </c>
      <c r="I47" s="176" t="s">
        <v>308</v>
      </c>
    </row>
    <row r="48" spans="1:9" s="52" customFormat="1" ht="129" thickBot="1" x14ac:dyDescent="0.25">
      <c r="A48" s="170" t="s">
        <v>318</v>
      </c>
      <c r="B48" s="149" t="s">
        <v>214</v>
      </c>
      <c r="C48" s="149" t="s">
        <v>181</v>
      </c>
      <c r="D48" s="149" t="s">
        <v>152</v>
      </c>
      <c r="E48" s="149">
        <v>183</v>
      </c>
      <c r="F48" s="157">
        <v>9677.7897842740422</v>
      </c>
      <c r="G48" s="151" t="s">
        <v>86</v>
      </c>
      <c r="H48" s="159" t="s">
        <v>159</v>
      </c>
      <c r="I48" s="176" t="s">
        <v>309</v>
      </c>
    </row>
    <row r="49" spans="1:9" s="52" customFormat="1" ht="129" thickBot="1" x14ac:dyDescent="0.25">
      <c r="A49" s="170" t="s">
        <v>318</v>
      </c>
      <c r="B49" s="149" t="s">
        <v>215</v>
      </c>
      <c r="C49" s="149" t="s">
        <v>182</v>
      </c>
      <c r="D49" s="149" t="s">
        <v>153</v>
      </c>
      <c r="E49" s="149">
        <v>104</v>
      </c>
      <c r="F49" s="157">
        <v>18958.335290918945</v>
      </c>
      <c r="G49" s="151" t="s">
        <v>86</v>
      </c>
      <c r="H49" s="159" t="s">
        <v>163</v>
      </c>
      <c r="I49" s="176" t="s">
        <v>310</v>
      </c>
    </row>
    <row r="50" spans="1:9" s="52" customFormat="1" ht="145" thickBot="1" x14ac:dyDescent="0.25">
      <c r="A50" s="167" t="s">
        <v>319</v>
      </c>
      <c r="B50" s="149" t="s">
        <v>219</v>
      </c>
      <c r="C50" s="149" t="s">
        <v>184</v>
      </c>
      <c r="D50" s="149" t="s">
        <v>156</v>
      </c>
      <c r="E50" s="149">
        <v>11184</v>
      </c>
      <c r="F50" s="157">
        <v>27871.122236805822</v>
      </c>
      <c r="G50" s="151" t="s">
        <v>86</v>
      </c>
      <c r="H50" s="159" t="s">
        <v>172</v>
      </c>
      <c r="I50" s="177" t="s">
        <v>314</v>
      </c>
    </row>
    <row r="51" spans="1:9" s="52" customFormat="1" x14ac:dyDescent="0.2">
      <c r="D51" s="51"/>
      <c r="E51" s="51"/>
      <c r="F51" s="51"/>
      <c r="G51" s="51"/>
      <c r="H51" s="51"/>
      <c r="I51" s="51"/>
    </row>
    <row r="52" spans="1:9" s="52" customFormat="1" x14ac:dyDescent="0.2">
      <c r="D52" s="51"/>
      <c r="E52" s="51"/>
      <c r="F52" s="51"/>
      <c r="G52" s="51"/>
      <c r="H52" s="51"/>
      <c r="I52" s="51"/>
    </row>
    <row r="53" spans="1:9" s="52" customFormat="1" x14ac:dyDescent="0.2">
      <c r="D53" s="51"/>
      <c r="E53" s="51"/>
      <c r="F53" s="51"/>
      <c r="G53" s="51"/>
      <c r="H53" s="51"/>
      <c r="I53" s="51"/>
    </row>
    <row r="54" spans="1:9" s="52" customFormat="1" x14ac:dyDescent="0.2">
      <c r="D54" s="51"/>
      <c r="E54" s="51"/>
      <c r="F54" s="51"/>
      <c r="G54" s="51"/>
      <c r="H54" s="51"/>
      <c r="I54" s="51"/>
    </row>
    <row r="55" spans="1:9" s="52" customFormat="1" x14ac:dyDescent="0.2">
      <c r="D55" s="51"/>
      <c r="E55" s="51"/>
      <c r="F55" s="51"/>
      <c r="G55" s="51"/>
      <c r="H55" s="51"/>
      <c r="I55" s="51"/>
    </row>
    <row r="56" spans="1:9" s="52" customFormat="1" x14ac:dyDescent="0.2">
      <c r="D56" s="51"/>
      <c r="E56" s="51"/>
      <c r="F56" s="51"/>
      <c r="G56" s="51"/>
      <c r="H56" s="51"/>
      <c r="I56" s="51"/>
    </row>
    <row r="57" spans="1:9" s="52" customFormat="1" x14ac:dyDescent="0.2">
      <c r="D57" s="51"/>
      <c r="E57" s="51"/>
      <c r="F57" s="51"/>
      <c r="G57" s="51"/>
      <c r="H57" s="51"/>
      <c r="I57" s="51"/>
    </row>
    <row r="58" spans="1:9" s="52" customFormat="1" x14ac:dyDescent="0.2"/>
    <row r="59" spans="1:9" s="52" customFormat="1" x14ac:dyDescent="0.2"/>
    <row r="60" spans="1:9" s="52" customFormat="1" x14ac:dyDescent="0.2"/>
    <row r="61" spans="1:9" s="52" customFormat="1" x14ac:dyDescent="0.2"/>
    <row r="62" spans="1:9" s="52" customFormat="1" x14ac:dyDescent="0.2"/>
    <row r="63" spans="1:9" s="52" customFormat="1" x14ac:dyDescent="0.2"/>
    <row r="64" spans="1:9" s="52" customFormat="1" x14ac:dyDescent="0.2"/>
    <row r="65" s="52" customFormat="1" x14ac:dyDescent="0.2"/>
    <row r="66" s="52" customFormat="1" x14ac:dyDescent="0.2"/>
    <row r="67" s="52" customFormat="1" x14ac:dyDescent="0.2"/>
    <row r="68" s="52" customFormat="1" x14ac:dyDescent="0.2"/>
    <row r="69" s="52" customFormat="1" x14ac:dyDescent="0.2"/>
    <row r="70" s="52" customFormat="1" x14ac:dyDescent="0.2"/>
    <row r="71" s="52" customFormat="1" x14ac:dyDescent="0.2"/>
    <row r="72" s="52" customFormat="1" x14ac:dyDescent="0.2"/>
    <row r="73" s="52" customFormat="1" x14ac:dyDescent="0.2"/>
  </sheetData>
  <mergeCells count="8">
    <mergeCell ref="A9:B9"/>
    <mergeCell ref="A11:G11"/>
    <mergeCell ref="B45:I45"/>
    <mergeCell ref="B17:I17"/>
    <mergeCell ref="A12:B12"/>
    <mergeCell ref="A13:B13"/>
    <mergeCell ref="A14:B14"/>
    <mergeCell ref="A15:B15"/>
  </mergeCells>
  <phoneticPr fontId="40" type="noConversion"/>
  <conditionalFormatting sqref="B38:C44 B51:C1048576 B8">
    <cfRule type="duplicateValues" dxfId="0" priority="20"/>
  </conditionalFormatting>
  <hyperlinks>
    <hyperlink ref="I47" r:id="rId1" xr:uid="{600E3054-439B-4282-A76A-984BB9959EB9}"/>
    <hyperlink ref="I48" r:id="rId2" xr:uid="{62885BA6-29E3-4100-9E17-3146D6F3D18A}"/>
    <hyperlink ref="I49" r:id="rId3" xr:uid="{2EC0F974-2360-4D73-A3AA-3DCEB52681BA}"/>
    <hyperlink ref="I50" r:id="rId4" xr:uid="{EC9D1161-041A-4A29-856F-33F7D43DE184}"/>
    <hyperlink ref="I19" r:id="rId5" xr:uid="{7E3CA145-C797-4F4E-88CE-289ED8F40D10}"/>
    <hyperlink ref="I22" r:id="rId6" xr:uid="{7302F4F0-894E-4164-B04E-AB1DCA10561C}"/>
    <hyperlink ref="I20" r:id="rId7" xr:uid="{2621194F-0A56-4697-87E9-86B68676BDAA}"/>
    <hyperlink ref="I29" r:id="rId8" xr:uid="{673C88C6-DF60-4FD8-BF07-15825E5E3493}"/>
    <hyperlink ref="I30" r:id="rId9" xr:uid="{ECD730E0-945D-4D63-981A-221F1C05CB20}"/>
    <hyperlink ref="I28" r:id="rId10" xr:uid="{BBFA4E07-A8DD-482B-A650-7A8A5D36E5BC}"/>
    <hyperlink ref="I27" r:id="rId11" xr:uid="{94993BC4-C7DE-43C4-82F2-9004579AC758}"/>
    <hyperlink ref="I25" r:id="rId12" xr:uid="{96DADABF-CA7C-4706-B04D-149144112C56}"/>
    <hyperlink ref="I26" r:id="rId13" xr:uid="{4FD27F2B-E6F1-4509-9875-B23177B96EB7}"/>
    <hyperlink ref="I23" r:id="rId14" xr:uid="{AFB7284F-4077-43BA-A432-B0C4F51CB0A1}"/>
    <hyperlink ref="I21" r:id="rId15" xr:uid="{2FA43C62-35EA-46DA-8C10-0D0C160AEE75}"/>
    <hyperlink ref="I24" r:id="rId16" xr:uid="{5A7C1561-58CE-4250-A7F1-C40878B507D0}"/>
  </hyperlinks>
  <pageMargins left="0.7" right="0.7" top="0.75" bottom="0.75" header="0.3" footer="0.3"/>
  <pageSetup orientation="portrait" r:id="rId17"/>
  <ignoredErrors>
    <ignoredError sqref="E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60EF-3313-41F0-8253-195E5231733A}">
  <sheetPr>
    <tabColor theme="5" tint="0.79998168889431442"/>
  </sheetPr>
  <dimension ref="A1:I247"/>
  <sheetViews>
    <sheetView zoomScaleNormal="100" workbookViewId="0">
      <pane ySplit="4" topLeftCell="A5" activePane="bottomLeft" state="frozen"/>
      <selection pane="bottomLeft"/>
    </sheetView>
  </sheetViews>
  <sheetFormatPr baseColWidth="10" defaultColWidth="8.83203125" defaultRowHeight="16" x14ac:dyDescent="0.2"/>
  <cols>
    <col min="1" max="1" width="44.33203125" style="35" customWidth="1"/>
    <col min="2" max="2" width="42.5" style="35" customWidth="1"/>
    <col min="3" max="3" width="20.33203125" style="35" customWidth="1"/>
    <col min="4" max="4" width="18" style="35" customWidth="1"/>
    <col min="5" max="5" width="14" style="35" customWidth="1"/>
    <col min="6" max="6" width="14.33203125" style="35" customWidth="1"/>
    <col min="7" max="7" width="16.1640625" style="35" customWidth="1"/>
    <col min="8" max="8" width="24.83203125" style="35" customWidth="1"/>
    <col min="9" max="9" width="19.1640625" style="35" customWidth="1"/>
    <col min="10" max="17" width="13.33203125" style="35" customWidth="1"/>
    <col min="18" max="16384" width="8.83203125" style="35"/>
  </cols>
  <sheetData>
    <row r="1" spans="1:9" ht="21" x14ac:dyDescent="0.25">
      <c r="A1" s="2" t="s">
        <v>326</v>
      </c>
    </row>
    <row r="2" spans="1:9" ht="21" x14ac:dyDescent="0.25">
      <c r="A2" s="2"/>
    </row>
    <row r="3" spans="1:9" ht="21" x14ac:dyDescent="0.25">
      <c r="A3" s="2" t="s">
        <v>328</v>
      </c>
    </row>
    <row r="4" spans="1:9" ht="37" customHeight="1" x14ac:dyDescent="0.25">
      <c r="A4" s="243" t="s">
        <v>329</v>
      </c>
      <c r="B4" s="243"/>
      <c r="C4" s="243"/>
      <c r="D4" s="243"/>
      <c r="E4" s="243"/>
      <c r="F4" s="243"/>
      <c r="G4" s="243"/>
      <c r="H4" s="243"/>
      <c r="I4" s="243"/>
    </row>
    <row r="5" spans="1:9" ht="29" customHeight="1" thickBot="1" x14ac:dyDescent="0.3">
      <c r="A5" s="171"/>
      <c r="B5" s="171"/>
      <c r="C5" s="171"/>
      <c r="D5" s="171"/>
      <c r="E5" s="171"/>
      <c r="F5" s="171"/>
      <c r="G5" s="171"/>
      <c r="H5" s="171"/>
      <c r="I5" s="171"/>
    </row>
    <row r="6" spans="1:9" s="38" customFormat="1" ht="69" customHeight="1" thickBot="1" x14ac:dyDescent="0.25">
      <c r="A6" s="165" t="s">
        <v>331</v>
      </c>
      <c r="B6" s="173">
        <v>0</v>
      </c>
      <c r="C6" s="79"/>
      <c r="D6" s="82"/>
      <c r="E6" s="89">
        <v>0</v>
      </c>
      <c r="F6" s="80"/>
      <c r="G6" s="80"/>
      <c r="H6" s="79"/>
    </row>
    <row r="7" spans="1:9" s="38" customFormat="1" ht="31" customHeight="1" thickBot="1" x14ac:dyDescent="0.25">
      <c r="A7" s="79"/>
      <c r="B7" s="79"/>
      <c r="C7" s="79"/>
      <c r="D7" s="82"/>
      <c r="E7" s="89"/>
      <c r="F7" s="80"/>
      <c r="G7" s="80"/>
      <c r="H7" s="79"/>
    </row>
    <row r="8" spans="1:9" s="38" customFormat="1" ht="31" customHeight="1" thickBot="1" x14ac:dyDescent="0.25">
      <c r="A8" s="244" t="s">
        <v>327</v>
      </c>
      <c r="B8" s="245"/>
      <c r="C8" s="245"/>
      <c r="D8" s="245"/>
      <c r="E8" s="245"/>
      <c r="F8" s="246"/>
      <c r="G8" s="80"/>
      <c r="H8" s="79"/>
    </row>
    <row r="9" spans="1:9" s="38" customFormat="1" ht="43" customHeight="1" thickBot="1" x14ac:dyDescent="0.25">
      <c r="A9" s="202" t="s">
        <v>301</v>
      </c>
      <c r="B9" s="186" t="s">
        <v>293</v>
      </c>
      <c r="C9" s="186" t="s">
        <v>294</v>
      </c>
      <c r="D9" s="186" t="s">
        <v>302</v>
      </c>
      <c r="E9" s="186" t="s">
        <v>295</v>
      </c>
      <c r="F9" s="186" t="s">
        <v>296</v>
      </c>
      <c r="G9" s="79"/>
    </row>
    <row r="10" spans="1:9" s="38" customFormat="1" ht="41" thickBot="1" x14ac:dyDescent="0.25">
      <c r="A10" s="203" t="s">
        <v>330</v>
      </c>
      <c r="B10" s="221">
        <v>2</v>
      </c>
      <c r="C10" s="222">
        <f>D14+D15</f>
        <v>5638</v>
      </c>
      <c r="D10" s="223">
        <v>202</v>
      </c>
      <c r="E10" s="224">
        <f>AVERAGE(E14:E15)</f>
        <v>1054.3413899620123</v>
      </c>
      <c r="F10" s="225">
        <v>1906</v>
      </c>
      <c r="G10" s="79"/>
    </row>
    <row r="11" spans="1:9" s="38" customFormat="1" ht="27" customHeight="1" x14ac:dyDescent="0.2"/>
    <row r="12" spans="1:9" s="38" customFormat="1" ht="30" customHeight="1" thickBot="1" x14ac:dyDescent="0.25">
      <c r="A12" s="233" t="s">
        <v>297</v>
      </c>
      <c r="B12" s="233"/>
      <c r="C12" s="233"/>
      <c r="D12" s="233"/>
      <c r="E12" s="233"/>
      <c r="F12" s="233"/>
      <c r="G12" s="233"/>
      <c r="H12" s="233"/>
    </row>
    <row r="13" spans="1:9" s="38" customFormat="1" ht="56" customHeight="1" thickBot="1" x14ac:dyDescent="0.3">
      <c r="A13" s="200" t="s">
        <v>141</v>
      </c>
      <c r="B13" s="200" t="s">
        <v>179</v>
      </c>
      <c r="C13" s="200" t="s">
        <v>228</v>
      </c>
      <c r="D13" s="200" t="s">
        <v>229</v>
      </c>
      <c r="E13" s="200" t="s">
        <v>240</v>
      </c>
      <c r="F13" s="200" t="s">
        <v>61</v>
      </c>
      <c r="G13" s="200" t="s">
        <v>230</v>
      </c>
      <c r="H13" s="201" t="s">
        <v>60</v>
      </c>
    </row>
    <row r="14" spans="1:9" s="38" customFormat="1" ht="221" customHeight="1" x14ac:dyDescent="0.2">
      <c r="A14" s="207" t="s">
        <v>223</v>
      </c>
      <c r="B14" s="208" t="s">
        <v>142</v>
      </c>
      <c r="C14" s="207" t="s">
        <v>93</v>
      </c>
      <c r="D14" s="209">
        <v>5570</v>
      </c>
      <c r="E14" s="210">
        <v>202.39015529761986</v>
      </c>
      <c r="F14" s="211" t="s">
        <v>62</v>
      </c>
      <c r="G14" s="212" t="s">
        <v>235</v>
      </c>
      <c r="H14" s="213" t="s">
        <v>233</v>
      </c>
    </row>
    <row r="15" spans="1:9" s="38" customFormat="1" ht="149" customHeight="1" thickBot="1" x14ac:dyDescent="0.25">
      <c r="A15" s="175" t="s">
        <v>222</v>
      </c>
      <c r="B15" s="214" t="s">
        <v>143</v>
      </c>
      <c r="C15" s="175" t="s">
        <v>94</v>
      </c>
      <c r="D15" s="215">
        <v>68</v>
      </c>
      <c r="E15" s="216">
        <v>1906.2926246264046</v>
      </c>
      <c r="F15" s="217" t="s">
        <v>62</v>
      </c>
      <c r="G15" s="218" t="s">
        <v>236</v>
      </c>
      <c r="H15" s="219" t="s">
        <v>234</v>
      </c>
      <c r="I15" s="220"/>
    </row>
    <row r="16" spans="1:9" s="38" customFormat="1" x14ac:dyDescent="0.2">
      <c r="A16" s="204" t="s">
        <v>63</v>
      </c>
      <c r="B16" s="205"/>
      <c r="C16" s="205"/>
      <c r="D16" s="205"/>
      <c r="E16" s="205"/>
      <c r="F16" s="205"/>
      <c r="G16" s="206"/>
      <c r="H16" s="206"/>
      <c r="I16" s="206"/>
    </row>
    <row r="17" spans="1:9" s="38" customFormat="1" x14ac:dyDescent="0.2">
      <c r="A17" s="41" t="s">
        <v>64</v>
      </c>
      <c r="B17" s="36"/>
      <c r="C17" s="36"/>
      <c r="D17" s="36"/>
      <c r="E17" s="36"/>
      <c r="F17" s="36"/>
    </row>
    <row r="18" spans="1:9" s="38" customFormat="1" x14ac:dyDescent="0.2">
      <c r="A18" s="41" t="s">
        <v>65</v>
      </c>
      <c r="B18" s="36"/>
      <c r="C18" s="36"/>
      <c r="D18" s="36"/>
      <c r="E18" s="36"/>
      <c r="F18" s="36"/>
    </row>
    <row r="19" spans="1:9" s="38" customFormat="1" x14ac:dyDescent="0.2">
      <c r="B19" s="36"/>
      <c r="C19" s="36"/>
      <c r="D19" s="36"/>
      <c r="E19" s="36"/>
      <c r="F19" s="36"/>
    </row>
    <row r="20" spans="1:9" s="38" customFormat="1" x14ac:dyDescent="0.2">
      <c r="B20" s="36"/>
      <c r="C20" s="36"/>
      <c r="D20" s="36"/>
      <c r="E20" s="36"/>
      <c r="F20" s="36"/>
      <c r="I20" s="41"/>
    </row>
    <row r="21" spans="1:9" s="38" customFormat="1" x14ac:dyDescent="0.2">
      <c r="B21" s="36"/>
      <c r="C21" s="36"/>
      <c r="D21" s="36"/>
      <c r="E21" s="36"/>
      <c r="F21" s="36"/>
      <c r="I21" s="41"/>
    </row>
    <row r="22" spans="1:9" s="38" customFormat="1" x14ac:dyDescent="0.2">
      <c r="B22" s="36"/>
      <c r="C22" s="36"/>
      <c r="D22" s="36"/>
      <c r="E22" s="36"/>
      <c r="F22" s="36"/>
      <c r="I22" s="36"/>
    </row>
    <row r="23" spans="1:9" s="38" customFormat="1" x14ac:dyDescent="0.2">
      <c r="B23" s="36"/>
      <c r="C23" s="36"/>
      <c r="D23" s="36"/>
      <c r="E23" s="36"/>
      <c r="F23" s="36"/>
      <c r="I23" s="36"/>
    </row>
    <row r="24" spans="1:9" s="38" customFormat="1" x14ac:dyDescent="0.2">
      <c r="B24" s="36"/>
      <c r="C24" s="36"/>
      <c r="D24" s="36"/>
      <c r="E24" s="36"/>
      <c r="F24" s="36"/>
      <c r="I24" s="36"/>
    </row>
    <row r="25" spans="1:9" s="38" customFormat="1" x14ac:dyDescent="0.2">
      <c r="B25" s="36"/>
      <c r="C25" s="36"/>
      <c r="D25" s="36"/>
      <c r="E25" s="36"/>
      <c r="F25" s="36"/>
      <c r="I25" s="36"/>
    </row>
    <row r="26" spans="1:9" s="38" customFormat="1" x14ac:dyDescent="0.2">
      <c r="B26" s="36"/>
      <c r="C26" s="36"/>
      <c r="D26" s="36"/>
      <c r="E26" s="36"/>
      <c r="F26" s="36"/>
      <c r="I26" s="36"/>
    </row>
    <row r="27" spans="1:9" s="38" customFormat="1" x14ac:dyDescent="0.2">
      <c r="B27" s="36"/>
      <c r="C27" s="36"/>
      <c r="D27" s="36"/>
      <c r="E27" s="36"/>
      <c r="F27" s="36"/>
      <c r="I27" s="36"/>
    </row>
    <row r="28" spans="1:9" s="38" customFormat="1" x14ac:dyDescent="0.2">
      <c r="B28" s="36"/>
      <c r="C28" s="36"/>
      <c r="D28" s="36"/>
      <c r="E28" s="36"/>
      <c r="F28" s="36"/>
      <c r="I28" s="36"/>
    </row>
    <row r="29" spans="1:9" s="38" customFormat="1" x14ac:dyDescent="0.2">
      <c r="B29" s="36"/>
      <c r="C29" s="36"/>
      <c r="D29" s="36"/>
      <c r="E29" s="36"/>
      <c r="F29" s="36"/>
      <c r="I29" s="36"/>
    </row>
    <row r="30" spans="1:9" s="38" customFormat="1" x14ac:dyDescent="0.2">
      <c r="B30" s="36"/>
      <c r="C30" s="36"/>
      <c r="D30" s="36"/>
      <c r="E30" s="36"/>
      <c r="F30" s="36"/>
      <c r="I30" s="36"/>
    </row>
    <row r="31" spans="1:9" s="38" customFormat="1" x14ac:dyDescent="0.2">
      <c r="B31" s="36"/>
      <c r="C31" s="36"/>
      <c r="D31" s="36"/>
      <c r="E31" s="36"/>
      <c r="F31" s="36"/>
      <c r="I31" s="36"/>
    </row>
    <row r="32" spans="1:9" s="38" customFormat="1" x14ac:dyDescent="0.2">
      <c r="B32" s="36"/>
      <c r="C32" s="36"/>
      <c r="D32" s="36"/>
      <c r="E32" s="36"/>
      <c r="F32" s="36"/>
      <c r="I32" s="36"/>
    </row>
    <row r="33" spans="2:9" s="38" customFormat="1" x14ac:dyDescent="0.2">
      <c r="B33" s="36"/>
      <c r="C33" s="36"/>
      <c r="D33" s="36"/>
      <c r="E33" s="36"/>
      <c r="F33" s="36"/>
      <c r="I33" s="36"/>
    </row>
    <row r="34" spans="2:9" s="38" customFormat="1" x14ac:dyDescent="0.2">
      <c r="B34" s="36"/>
      <c r="C34" s="36"/>
      <c r="D34" s="36"/>
      <c r="E34" s="36"/>
      <c r="F34" s="36"/>
      <c r="I34" s="36"/>
    </row>
    <row r="35" spans="2:9" s="38" customFormat="1" x14ac:dyDescent="0.2">
      <c r="B35" s="36"/>
      <c r="C35" s="36"/>
      <c r="D35" s="36"/>
      <c r="E35" s="36"/>
      <c r="F35" s="36"/>
      <c r="I35" s="36"/>
    </row>
    <row r="36" spans="2:9" s="38" customFormat="1" x14ac:dyDescent="0.2">
      <c r="B36" s="36"/>
      <c r="C36" s="36"/>
      <c r="D36" s="36"/>
      <c r="E36" s="36"/>
      <c r="F36" s="36"/>
      <c r="I36" s="36"/>
    </row>
    <row r="37" spans="2:9" s="38" customFormat="1" x14ac:dyDescent="0.2">
      <c r="B37" s="36"/>
      <c r="C37" s="36"/>
      <c r="D37" s="36"/>
      <c r="E37" s="36"/>
      <c r="F37" s="36"/>
      <c r="I37" s="36"/>
    </row>
    <row r="38" spans="2:9" s="38" customFormat="1" x14ac:dyDescent="0.2">
      <c r="B38" s="36"/>
      <c r="C38" s="36"/>
      <c r="D38" s="36"/>
      <c r="E38" s="36"/>
      <c r="F38" s="36"/>
      <c r="I38" s="36"/>
    </row>
    <row r="39" spans="2:9" s="38" customFormat="1" x14ac:dyDescent="0.2">
      <c r="B39" s="36"/>
      <c r="C39" s="36"/>
      <c r="D39" s="36"/>
      <c r="E39" s="36"/>
      <c r="F39" s="36"/>
      <c r="I39" s="36"/>
    </row>
    <row r="40" spans="2:9" s="38" customFormat="1" x14ac:dyDescent="0.2"/>
    <row r="41" spans="2:9" s="38" customFormat="1" x14ac:dyDescent="0.2"/>
    <row r="42" spans="2:9" s="38" customFormat="1" x14ac:dyDescent="0.2"/>
    <row r="43" spans="2:9" s="38" customFormat="1" x14ac:dyDescent="0.2"/>
    <row r="44" spans="2:9" s="38" customFormat="1" x14ac:dyDescent="0.2"/>
    <row r="45" spans="2:9" s="38" customFormat="1" x14ac:dyDescent="0.2"/>
    <row r="46" spans="2:9" s="38" customFormat="1" x14ac:dyDescent="0.2"/>
    <row r="47" spans="2:9" s="38" customFormat="1" x14ac:dyDescent="0.2"/>
    <row r="48" spans="2:9" s="38" customFormat="1" x14ac:dyDescent="0.2"/>
    <row r="49" s="38" customFormat="1" x14ac:dyDescent="0.2"/>
    <row r="50" s="38" customFormat="1" x14ac:dyDescent="0.2"/>
    <row r="51" s="38" customFormat="1" x14ac:dyDescent="0.2"/>
    <row r="52" s="38" customFormat="1" x14ac:dyDescent="0.2"/>
    <row r="53" s="38" customFormat="1" x14ac:dyDescent="0.2"/>
    <row r="54" s="38" customFormat="1" x14ac:dyDescent="0.2"/>
    <row r="55" s="38" customFormat="1" x14ac:dyDescent="0.2"/>
    <row r="247" spans="1:1" x14ac:dyDescent="0.2">
      <c r="A247" s="58"/>
    </row>
  </sheetData>
  <mergeCells count="3">
    <mergeCell ref="A4:I4"/>
    <mergeCell ref="A12:H12"/>
    <mergeCell ref="A8:F8"/>
  </mergeCells>
  <hyperlinks>
    <hyperlink ref="H15" r:id="rId1" xr:uid="{7B15DDBC-9F8B-4585-9323-BCE87FC351EE}"/>
    <hyperlink ref="H14" r:id="rId2" xr:uid="{AB52EAC8-4904-4D3A-BAE9-6677E019755A}"/>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7EA26-81F9-47F9-BF5C-D7EB7C0FF046}">
  <dimension ref="A1:A2"/>
  <sheetViews>
    <sheetView workbookViewId="0">
      <selection activeCell="A3" sqref="A3"/>
    </sheetView>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B63-FC05-45AA-8B73-5C2CC8E91C98}">
  <sheetPr>
    <tabColor theme="7" tint="0.79998168889431442"/>
  </sheetPr>
  <dimension ref="A1:W23"/>
  <sheetViews>
    <sheetView zoomScale="120" zoomScaleNormal="120" workbookViewId="0"/>
  </sheetViews>
  <sheetFormatPr baseColWidth="10" defaultColWidth="8.83203125" defaultRowHeight="15" x14ac:dyDescent="0.2"/>
  <cols>
    <col min="1" max="1" width="54.6640625" customWidth="1"/>
    <col min="2" max="2" width="13.1640625" customWidth="1"/>
    <col min="3" max="3" width="28.6640625" customWidth="1"/>
    <col min="4" max="4" width="15" customWidth="1"/>
    <col min="5" max="5" width="26.1640625" customWidth="1"/>
    <col min="6" max="6" width="16.33203125" customWidth="1"/>
    <col min="7" max="7" width="14.33203125" customWidth="1"/>
    <col min="9" max="11" width="8.83203125" customWidth="1"/>
    <col min="12" max="12" width="13.33203125" customWidth="1"/>
    <col min="13" max="14" width="8.83203125" customWidth="1"/>
    <col min="15" max="15" width="13.83203125" customWidth="1"/>
    <col min="18" max="18" width="13.6640625" customWidth="1"/>
    <col min="19" max="19" width="9.83203125" customWidth="1"/>
    <col min="21" max="21" width="14.5" customWidth="1"/>
  </cols>
  <sheetData>
    <row r="1" spans="1:23" ht="21" x14ac:dyDescent="0.25">
      <c r="A1" s="2" t="s">
        <v>253</v>
      </c>
    </row>
    <row r="2" spans="1:23" ht="19" x14ac:dyDescent="0.25">
      <c r="A2" s="126" t="s">
        <v>242</v>
      </c>
    </row>
    <row r="3" spans="1:23" ht="27" customHeight="1" x14ac:dyDescent="0.2">
      <c r="A3" s="11" t="s">
        <v>206</v>
      </c>
      <c r="O3" s="11"/>
      <c r="P3" s="22"/>
    </row>
    <row r="4" spans="1:23" ht="44" customHeight="1" thickBot="1" x14ac:dyDescent="0.25">
      <c r="A4" s="247" t="s">
        <v>277</v>
      </c>
      <c r="B4" s="247"/>
      <c r="C4" s="247"/>
      <c r="D4" s="247"/>
      <c r="E4" s="247"/>
      <c r="F4" s="247"/>
      <c r="G4" s="65"/>
      <c r="H4" s="65"/>
      <c r="I4" s="65"/>
      <c r="J4" s="65"/>
      <c r="K4" s="65"/>
      <c r="L4" s="65"/>
      <c r="O4" s="65"/>
      <c r="P4" s="65"/>
      <c r="Q4" s="65"/>
      <c r="R4" s="65"/>
      <c r="S4" s="65"/>
      <c r="T4" s="65"/>
      <c r="U4" s="65"/>
      <c r="V4" s="65"/>
      <c r="W4" s="65"/>
    </row>
    <row r="5" spans="1:23" ht="17" thickBot="1" x14ac:dyDescent="0.25">
      <c r="A5" s="60" t="s">
        <v>276</v>
      </c>
      <c r="B5" s="109"/>
      <c r="C5" s="13" t="s">
        <v>133</v>
      </c>
      <c r="D5" s="63"/>
    </row>
    <row r="6" spans="1:23" ht="16" thickBot="1" x14ac:dyDescent="0.25">
      <c r="A6" s="13" t="s">
        <v>19</v>
      </c>
      <c r="B6" s="66"/>
    </row>
    <row r="7" spans="1:23" ht="16" thickBot="1" x14ac:dyDescent="0.25">
      <c r="A7" s="13"/>
      <c r="B7" s="18"/>
      <c r="C7" s="13"/>
      <c r="T7" s="13"/>
      <c r="U7" s="57"/>
    </row>
    <row r="8" spans="1:23" ht="16" thickBot="1" x14ac:dyDescent="0.25">
      <c r="A8" s="13" t="s">
        <v>99</v>
      </c>
      <c r="B8" s="110">
        <f>B5*'Costs &amp; Revenue'!C5</f>
        <v>0</v>
      </c>
      <c r="C8" s="13" t="s">
        <v>98</v>
      </c>
      <c r="D8" s="110">
        <f>B8*(1-D5)</f>
        <v>0</v>
      </c>
    </row>
    <row r="9" spans="1:23" ht="16" thickBot="1" x14ac:dyDescent="0.25">
      <c r="A9" s="13" t="s">
        <v>101</v>
      </c>
      <c r="B9" s="110">
        <f>B6*B8</f>
        <v>0</v>
      </c>
      <c r="C9" s="13" t="s">
        <v>100</v>
      </c>
      <c r="D9" s="111">
        <f>B6*D8</f>
        <v>0</v>
      </c>
    </row>
    <row r="10" spans="1:23" ht="16" thickBot="1" x14ac:dyDescent="0.25">
      <c r="C10" s="76" t="s">
        <v>92</v>
      </c>
      <c r="D10" s="111">
        <f>B9-D9</f>
        <v>0</v>
      </c>
    </row>
    <row r="12" spans="1:23" ht="16" x14ac:dyDescent="0.2">
      <c r="A12" s="11" t="s">
        <v>254</v>
      </c>
    </row>
    <row r="13" spans="1:23" ht="44" customHeight="1" thickBot="1" x14ac:dyDescent="0.25">
      <c r="A13" s="247" t="s">
        <v>255</v>
      </c>
      <c r="B13" s="247"/>
      <c r="C13" s="247"/>
      <c r="D13" s="247"/>
      <c r="E13" s="247"/>
      <c r="F13" s="247"/>
    </row>
    <row r="14" spans="1:23" ht="16" thickBot="1" x14ac:dyDescent="0.25">
      <c r="A14" s="13" t="s">
        <v>203</v>
      </c>
      <c r="B14" s="111">
        <f>'HBPC Program Savings'!C9</f>
        <v>4491</v>
      </c>
      <c r="C14" s="76" t="s">
        <v>97</v>
      </c>
      <c r="D14" s="111">
        <f>B14*'Costs &amp; Revenue'!C5</f>
        <v>2245500</v>
      </c>
    </row>
    <row r="15" spans="1:23" ht="16" thickBot="1" x14ac:dyDescent="0.25">
      <c r="A15" s="13" t="s">
        <v>204</v>
      </c>
      <c r="B15" s="111">
        <f>'Paramedic Program Savings'!B6</f>
        <v>0</v>
      </c>
      <c r="C15" s="76" t="s">
        <v>102</v>
      </c>
      <c r="D15" s="111">
        <f>B15*'Costs &amp; Revenue'!C5</f>
        <v>0</v>
      </c>
    </row>
    <row r="16" spans="1:23" ht="16" thickBot="1" x14ac:dyDescent="0.25">
      <c r="A16" s="13"/>
      <c r="C16" s="76" t="s">
        <v>103</v>
      </c>
      <c r="D16" s="111">
        <f>D15+D14+D10</f>
        <v>2245500</v>
      </c>
      <c r="E16" s="13"/>
    </row>
    <row r="17" spans="1:3" ht="17" thickBot="1" x14ac:dyDescent="0.25">
      <c r="A17" s="130" t="s">
        <v>20</v>
      </c>
    </row>
    <row r="18" spans="1:3" ht="16" thickBot="1" x14ac:dyDescent="0.25">
      <c r="A18" s="13" t="s">
        <v>21</v>
      </c>
      <c r="B18" s="63">
        <v>0.5</v>
      </c>
    </row>
    <row r="19" spans="1:3" ht="17" thickBot="1" x14ac:dyDescent="0.25">
      <c r="A19" s="60" t="s">
        <v>47</v>
      </c>
      <c r="B19" s="63">
        <v>0.52</v>
      </c>
      <c r="C19" s="64"/>
    </row>
    <row r="20" spans="1:3" ht="16" thickBot="1" x14ac:dyDescent="0.25">
      <c r="A20" s="13" t="s">
        <v>104</v>
      </c>
      <c r="B20" s="92">
        <f>B18*B19</f>
        <v>0.26</v>
      </c>
    </row>
    <row r="21" spans="1:3" ht="16" thickBot="1" x14ac:dyDescent="0.25">
      <c r="A21" s="76" t="s">
        <v>105</v>
      </c>
      <c r="B21" s="111">
        <f>D16*B20</f>
        <v>583830</v>
      </c>
    </row>
    <row r="23" spans="1:3" ht="16" x14ac:dyDescent="0.2">
      <c r="A23" s="83" t="s">
        <v>237</v>
      </c>
    </row>
  </sheetData>
  <mergeCells count="2">
    <mergeCell ref="A4:F4"/>
    <mergeCell ref="A13:F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2156-8AFE-42A0-94C2-A6217C31879C}">
  <sheetPr>
    <tabColor theme="7" tint="0.79998168889431442"/>
  </sheetPr>
  <dimension ref="A1:E10"/>
  <sheetViews>
    <sheetView zoomScale="120" zoomScaleNormal="120" workbookViewId="0"/>
  </sheetViews>
  <sheetFormatPr baseColWidth="10" defaultColWidth="8.83203125" defaultRowHeight="15" x14ac:dyDescent="0.2"/>
  <cols>
    <col min="1" max="1" width="27.83203125" customWidth="1"/>
    <col min="2" max="2" width="10.83203125" customWidth="1"/>
    <col min="3" max="3" width="9.5" customWidth="1"/>
    <col min="4" max="4" width="28.5" bestFit="1" customWidth="1"/>
    <col min="5" max="5" width="11.6640625" customWidth="1"/>
  </cols>
  <sheetData>
    <row r="1" spans="1:5" ht="21" x14ac:dyDescent="0.25">
      <c r="A1" s="2" t="s">
        <v>269</v>
      </c>
      <c r="D1" s="2" t="s">
        <v>270</v>
      </c>
    </row>
    <row r="2" spans="1:5" ht="23" customHeight="1" thickBot="1" x14ac:dyDescent="0.3">
      <c r="A2" s="135" t="s">
        <v>115</v>
      </c>
    </row>
    <row r="3" spans="1:5" ht="32" customHeight="1" thickBot="1" x14ac:dyDescent="0.25">
      <c r="A3" s="84" t="s">
        <v>78</v>
      </c>
      <c r="B3" s="66">
        <v>200</v>
      </c>
      <c r="D3" s="84" t="s">
        <v>81</v>
      </c>
      <c r="E3" s="66">
        <v>2000</v>
      </c>
    </row>
    <row r="4" spans="1:5" ht="16" thickBot="1" x14ac:dyDescent="0.25">
      <c r="A4" s="84" t="s">
        <v>76</v>
      </c>
      <c r="B4" s="66">
        <v>150</v>
      </c>
      <c r="D4" s="84" t="s">
        <v>80</v>
      </c>
      <c r="E4" s="66">
        <v>20000</v>
      </c>
    </row>
    <row r="5" spans="1:5" ht="16" thickBot="1" x14ac:dyDescent="0.25">
      <c r="A5" s="84" t="s">
        <v>77</v>
      </c>
      <c r="B5" s="66">
        <v>20000</v>
      </c>
      <c r="D5" s="84" t="s">
        <v>79</v>
      </c>
      <c r="E5" s="66">
        <v>15000</v>
      </c>
    </row>
    <row r="6" spans="1:5" ht="37" customHeight="1" thickBot="1" x14ac:dyDescent="0.25">
      <c r="A6" s="85" t="s">
        <v>138</v>
      </c>
      <c r="B6" s="66">
        <v>0</v>
      </c>
      <c r="D6" s="84" t="s">
        <v>91</v>
      </c>
      <c r="E6" s="66">
        <v>6000</v>
      </c>
    </row>
    <row r="7" spans="1:5" ht="33" thickBot="1" x14ac:dyDescent="0.25">
      <c r="A7" s="85" t="s">
        <v>106</v>
      </c>
      <c r="B7" s="66">
        <v>0</v>
      </c>
      <c r="D7" s="85" t="s">
        <v>106</v>
      </c>
      <c r="E7" s="66">
        <v>0</v>
      </c>
    </row>
    <row r="8" spans="1:5" x14ac:dyDescent="0.2">
      <c r="A8" s="85"/>
      <c r="D8" s="85"/>
      <c r="E8" s="85"/>
    </row>
    <row r="9" spans="1:5" ht="17" thickBot="1" x14ac:dyDescent="0.25">
      <c r="A9" s="67"/>
      <c r="B9" s="39"/>
      <c r="D9" s="67"/>
      <c r="E9" s="39"/>
    </row>
    <row r="10" spans="1:5" ht="16" thickBot="1" x14ac:dyDescent="0.25">
      <c r="A10" s="76" t="s">
        <v>271</v>
      </c>
      <c r="B10" s="111">
        <f>SUM(B3:B7)</f>
        <v>20350</v>
      </c>
      <c r="D10" s="76" t="s">
        <v>272</v>
      </c>
      <c r="E10" s="111">
        <f>SUM(E3:E6)</f>
        <v>43000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A789-E2AA-4DC4-830C-9E5145DDF4D8}">
  <sheetPr>
    <tabColor theme="4" tint="0.79998168889431442"/>
  </sheetPr>
  <dimension ref="A1:G24"/>
  <sheetViews>
    <sheetView zoomScale="120" zoomScaleNormal="120" workbookViewId="0"/>
  </sheetViews>
  <sheetFormatPr baseColWidth="10" defaultColWidth="8.83203125" defaultRowHeight="15" x14ac:dyDescent="0.2"/>
  <cols>
    <col min="2" max="2" width="30.5" customWidth="1"/>
    <col min="3" max="3" width="11.5" customWidth="1"/>
    <col min="4" max="4" width="19.83203125" customWidth="1"/>
    <col min="5" max="5" width="24.83203125" customWidth="1"/>
    <col min="6" max="6" width="14.6640625" customWidth="1"/>
    <col min="8" max="8" width="11.83203125" bestFit="1" customWidth="1"/>
  </cols>
  <sheetData>
    <row r="1" spans="1:7" ht="21" x14ac:dyDescent="0.25">
      <c r="A1" s="124" t="s">
        <v>282</v>
      </c>
      <c r="B1" s="124"/>
      <c r="C1" s="124"/>
      <c r="D1" s="124"/>
    </row>
    <row r="2" spans="1:7" ht="19" x14ac:dyDescent="0.25">
      <c r="A2" s="123" t="s">
        <v>247</v>
      </c>
      <c r="B2" s="123"/>
      <c r="C2" s="122"/>
      <c r="D2" s="122"/>
    </row>
    <row r="3" spans="1:7" ht="16" x14ac:dyDescent="0.2">
      <c r="A3" s="4"/>
      <c r="B3" s="5" t="s">
        <v>278</v>
      </c>
      <c r="C3" s="6"/>
      <c r="D3" s="6"/>
      <c r="E3" s="5" t="s">
        <v>279</v>
      </c>
      <c r="F3" s="6"/>
      <c r="G3" s="7"/>
    </row>
    <row r="4" spans="1:7" x14ac:dyDescent="0.2">
      <c r="A4" s="8"/>
      <c r="B4" t="s">
        <v>110</v>
      </c>
      <c r="C4" s="115">
        <f>'Costs &amp; Revenue'!H22</f>
        <v>404160</v>
      </c>
      <c r="E4" t="s">
        <v>107</v>
      </c>
      <c r="F4" s="115">
        <f>'Costs &amp; Revenue'!L22</f>
        <v>226340</v>
      </c>
      <c r="G4" s="12"/>
    </row>
    <row r="5" spans="1:7" x14ac:dyDescent="0.2">
      <c r="A5" s="8"/>
      <c r="B5" t="s">
        <v>111</v>
      </c>
      <c r="C5" s="115">
        <f>'Costs &amp; Revenue'!H29</f>
        <v>56400</v>
      </c>
      <c r="E5" t="s">
        <v>116</v>
      </c>
      <c r="F5" s="115">
        <f>'Shared Savings'!B21</f>
        <v>583830</v>
      </c>
      <c r="G5" s="12"/>
    </row>
    <row r="6" spans="1:7" x14ac:dyDescent="0.2">
      <c r="A6" s="8"/>
      <c r="B6" t="s">
        <v>112</v>
      </c>
      <c r="C6" s="115">
        <f>'Costs &amp; Revenue'!H35</f>
        <v>6569.64</v>
      </c>
      <c r="F6" s="39"/>
      <c r="G6" s="12"/>
    </row>
    <row r="7" spans="1:7" x14ac:dyDescent="0.2">
      <c r="A7" s="8"/>
      <c r="B7" t="s">
        <v>113</v>
      </c>
      <c r="C7" s="115">
        <f>'Costs &amp; Revenue'!H41</f>
        <v>196000</v>
      </c>
      <c r="F7" s="39"/>
      <c r="G7" s="12"/>
    </row>
    <row r="8" spans="1:7" x14ac:dyDescent="0.2">
      <c r="A8" s="8"/>
      <c r="B8" s="24" t="s">
        <v>17</v>
      </c>
      <c r="C8" s="29">
        <f>'Costs &amp; Revenue'!H51</f>
        <v>56000</v>
      </c>
      <c r="E8" s="24"/>
      <c r="F8" s="39"/>
      <c r="G8" s="12"/>
    </row>
    <row r="9" spans="1:7" x14ac:dyDescent="0.2">
      <c r="A9" s="8"/>
      <c r="B9" s="45" t="s">
        <v>114</v>
      </c>
      <c r="C9" s="29">
        <f>'Costs &amp; Revenue'!H55</f>
        <v>5000</v>
      </c>
      <c r="E9" s="24"/>
      <c r="F9" s="39"/>
      <c r="G9" s="12"/>
    </row>
    <row r="10" spans="1:7" x14ac:dyDescent="0.2">
      <c r="A10" s="8"/>
      <c r="B10" s="87" t="s">
        <v>5</v>
      </c>
      <c r="C10" s="114">
        <f>SUM(C4:C9)</f>
        <v>724129.64</v>
      </c>
      <c r="E10" s="87" t="s">
        <v>5</v>
      </c>
      <c r="F10" s="114">
        <f>SUM(F4:F9)</f>
        <v>810170</v>
      </c>
      <c r="G10" s="12"/>
    </row>
    <row r="11" spans="1:7" x14ac:dyDescent="0.2">
      <c r="A11" s="8"/>
      <c r="B11" s="84" t="s">
        <v>108</v>
      </c>
      <c r="C11" s="112">
        <f>C10/'Costs &amp; Revenue'!H5</f>
        <v>181.03241</v>
      </c>
      <c r="E11" s="84" t="s">
        <v>108</v>
      </c>
      <c r="F11" s="112">
        <f>F10/'Costs &amp; Revenue'!H5</f>
        <v>202.54249999999999</v>
      </c>
      <c r="G11" s="12"/>
    </row>
    <row r="12" spans="1:7" x14ac:dyDescent="0.2">
      <c r="A12" s="8"/>
      <c r="B12" s="84" t="s">
        <v>109</v>
      </c>
      <c r="C12" s="112">
        <f>C10/'Costs &amp; Revenue'!C5</f>
        <v>1448.25928</v>
      </c>
      <c r="E12" s="84" t="s">
        <v>109</v>
      </c>
      <c r="F12" s="112">
        <f>F10/'Costs &amp; Revenue'!C5</f>
        <v>1620.34</v>
      </c>
      <c r="G12" s="12"/>
    </row>
    <row r="13" spans="1:7" ht="16" thickBot="1" x14ac:dyDescent="0.25">
      <c r="A13" s="8"/>
      <c r="F13" s="39"/>
      <c r="G13" s="12"/>
    </row>
    <row r="14" spans="1:7" ht="17" thickBot="1" x14ac:dyDescent="0.25">
      <c r="A14" s="8"/>
      <c r="D14" s="119" t="s">
        <v>6</v>
      </c>
      <c r="E14" s="121">
        <f>IF(C10&lt;&gt;0,(F10-C10)/C10,0)</f>
        <v>0.11881900042097432</v>
      </c>
      <c r="F14" s="39"/>
      <c r="G14" s="12"/>
    </row>
    <row r="15" spans="1:7" x14ac:dyDescent="0.2">
      <c r="A15" s="24"/>
      <c r="F15" s="39"/>
      <c r="G15" s="24"/>
    </row>
    <row r="16" spans="1:7" x14ac:dyDescent="0.2">
      <c r="F16" s="39"/>
    </row>
    <row r="17" spans="1:7" ht="21" x14ac:dyDescent="0.25">
      <c r="A17" s="136" t="s">
        <v>283</v>
      </c>
      <c r="B17" s="136"/>
      <c r="C17" s="136"/>
      <c r="D17" s="136"/>
      <c r="F17" s="39"/>
    </row>
    <row r="18" spans="1:7" x14ac:dyDescent="0.2">
      <c r="A18" s="6"/>
      <c r="B18" s="13" t="s">
        <v>74</v>
      </c>
      <c r="C18" s="115">
        <f>'Extra C&amp;B'!B10</f>
        <v>20350</v>
      </c>
      <c r="E18" s="68" t="s">
        <v>75</v>
      </c>
      <c r="F18" s="116">
        <f>'Extra C&amp;B'!E10</f>
        <v>43000</v>
      </c>
      <c r="G18" s="7"/>
    </row>
    <row r="19" spans="1:7" x14ac:dyDescent="0.2">
      <c r="B19" s="76" t="s">
        <v>280</v>
      </c>
      <c r="C19" s="112">
        <f>C18+C10</f>
        <v>744479.64</v>
      </c>
      <c r="E19" s="86" t="s">
        <v>281</v>
      </c>
      <c r="F19" s="113">
        <f>F18+F10</f>
        <v>853170</v>
      </c>
      <c r="G19" s="12"/>
    </row>
    <row r="20" spans="1:7" ht="17" thickBot="1" x14ac:dyDescent="0.25">
      <c r="B20" s="14"/>
      <c r="C20" s="47"/>
      <c r="E20" s="24"/>
      <c r="F20" s="69"/>
      <c r="G20" s="12"/>
    </row>
    <row r="21" spans="1:7" ht="17" thickBot="1" x14ac:dyDescent="0.25">
      <c r="D21" s="119" t="s">
        <v>284</v>
      </c>
      <c r="E21" s="120">
        <f>IF(C19&lt;&gt;0,F19/C19,0)</f>
        <v>1.1459950738209577</v>
      </c>
      <c r="F21" s="24"/>
      <c r="G21" s="12"/>
    </row>
    <row r="22" spans="1:7" x14ac:dyDescent="0.2">
      <c r="E22" s="24"/>
      <c r="F22" s="24"/>
      <c r="G22" s="12"/>
    </row>
    <row r="23" spans="1:7" x14ac:dyDescent="0.2">
      <c r="E23" s="24"/>
      <c r="F23" s="24"/>
      <c r="G23" s="12"/>
    </row>
    <row r="24" spans="1:7" x14ac:dyDescent="0.2">
      <c r="E24" s="24"/>
      <c r="F24" s="24"/>
      <c r="G24" s="2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7C306-9E0F-4876-9F3F-2D381980C9CC}">
  <sheetPr>
    <tabColor theme="9" tint="0.79998168889431442"/>
  </sheetPr>
  <dimension ref="A1:B35"/>
  <sheetViews>
    <sheetView zoomScale="120" zoomScaleNormal="120" workbookViewId="0"/>
  </sheetViews>
  <sheetFormatPr baseColWidth="10" defaultColWidth="8.83203125" defaultRowHeight="15" x14ac:dyDescent="0.2"/>
  <cols>
    <col min="1" max="1" width="9.83203125" customWidth="1"/>
    <col min="2" max="2" width="16" customWidth="1"/>
  </cols>
  <sheetData>
    <row r="1" spans="1:2" ht="21" x14ac:dyDescent="0.25">
      <c r="A1" s="2" t="s">
        <v>273</v>
      </c>
    </row>
    <row r="2" spans="1:2" ht="19" x14ac:dyDescent="0.25">
      <c r="A2" s="126" t="s">
        <v>274</v>
      </c>
    </row>
    <row r="4" spans="1:2" ht="16" x14ac:dyDescent="0.2">
      <c r="A4" s="11" t="s">
        <v>82</v>
      </c>
    </row>
    <row r="5" spans="1:2" ht="32" x14ac:dyDescent="0.2">
      <c r="A5" s="48" t="s">
        <v>54</v>
      </c>
      <c r="B5" s="49" t="s">
        <v>55</v>
      </c>
    </row>
    <row r="6" spans="1:2" x14ac:dyDescent="0.2">
      <c r="A6">
        <v>1996</v>
      </c>
      <c r="B6" s="33">
        <v>231.9</v>
      </c>
    </row>
    <row r="7" spans="1:2" x14ac:dyDescent="0.2">
      <c r="A7">
        <v>1997</v>
      </c>
      <c r="B7" s="33">
        <v>238.7</v>
      </c>
    </row>
    <row r="8" spans="1:2" x14ac:dyDescent="0.2">
      <c r="A8">
        <v>1998</v>
      </c>
      <c r="B8" s="33">
        <v>246.5</v>
      </c>
    </row>
    <row r="9" spans="1:2" x14ac:dyDescent="0.2">
      <c r="A9">
        <v>1999</v>
      </c>
      <c r="B9" s="33">
        <v>254.6</v>
      </c>
    </row>
    <row r="10" spans="1:2" x14ac:dyDescent="0.2">
      <c r="A10">
        <v>2000</v>
      </c>
      <c r="B10" s="33">
        <v>265.60000000000002</v>
      </c>
    </row>
    <row r="11" spans="1:2" x14ac:dyDescent="0.2">
      <c r="A11">
        <v>2001</v>
      </c>
      <c r="B11" s="33">
        <v>278.3</v>
      </c>
    </row>
    <row r="12" spans="1:2" x14ac:dyDescent="0.2">
      <c r="A12">
        <v>2002</v>
      </c>
      <c r="B12" s="33">
        <v>291.7</v>
      </c>
    </row>
    <row r="13" spans="1:2" x14ac:dyDescent="0.2">
      <c r="A13">
        <v>2003</v>
      </c>
      <c r="B13" s="33">
        <v>305.2</v>
      </c>
    </row>
    <row r="14" spans="1:2" x14ac:dyDescent="0.2">
      <c r="A14">
        <v>2004</v>
      </c>
      <c r="B14" s="33">
        <v>321</v>
      </c>
    </row>
    <row r="15" spans="1:2" x14ac:dyDescent="0.2">
      <c r="A15">
        <v>2005</v>
      </c>
      <c r="B15" s="33">
        <v>336.3</v>
      </c>
    </row>
    <row r="16" spans="1:2" x14ac:dyDescent="0.2">
      <c r="A16">
        <v>2006</v>
      </c>
      <c r="B16" s="33">
        <v>350.3</v>
      </c>
    </row>
    <row r="17" spans="1:2" x14ac:dyDescent="0.2">
      <c r="A17">
        <v>2007</v>
      </c>
      <c r="B17" s="33">
        <v>367.75799999999998</v>
      </c>
    </row>
    <row r="18" spans="1:2" x14ac:dyDescent="0.2">
      <c r="A18">
        <v>2008</v>
      </c>
      <c r="B18" s="33">
        <v>384.685</v>
      </c>
    </row>
    <row r="19" spans="1:2" x14ac:dyDescent="0.2">
      <c r="A19">
        <v>2009</v>
      </c>
      <c r="B19" s="33">
        <v>396.75</v>
      </c>
    </row>
    <row r="20" spans="1:2" x14ac:dyDescent="0.2">
      <c r="A20">
        <v>2010</v>
      </c>
      <c r="B20" s="33">
        <v>410.80200000000002</v>
      </c>
    </row>
    <row r="21" spans="1:2" x14ac:dyDescent="0.2">
      <c r="A21">
        <v>2011</v>
      </c>
      <c r="B21" s="33">
        <v>422.81299999999999</v>
      </c>
    </row>
    <row r="22" spans="1:2" x14ac:dyDescent="0.2">
      <c r="A22">
        <v>2012</v>
      </c>
      <c r="B22" s="33">
        <v>441.041</v>
      </c>
    </row>
    <row r="23" spans="1:2" x14ac:dyDescent="0.2">
      <c r="A23">
        <v>2013</v>
      </c>
      <c r="B23" s="33">
        <v>453.32499999999999</v>
      </c>
    </row>
    <row r="24" spans="1:2" x14ac:dyDescent="0.2">
      <c r="A24">
        <v>2014</v>
      </c>
      <c r="B24" s="33">
        <v>464.96</v>
      </c>
    </row>
    <row r="25" spans="1:2" x14ac:dyDescent="0.2">
      <c r="A25">
        <v>2015</v>
      </c>
      <c r="B25" s="33">
        <v>475.54599999999999</v>
      </c>
    </row>
    <row r="26" spans="1:2" x14ac:dyDescent="0.2">
      <c r="A26">
        <v>2016</v>
      </c>
      <c r="B26" s="33">
        <v>493.50299999999999</v>
      </c>
    </row>
    <row r="27" spans="1:2" x14ac:dyDescent="0.2">
      <c r="A27">
        <v>2017</v>
      </c>
      <c r="B27" s="33">
        <v>505.81299999999999</v>
      </c>
    </row>
    <row r="28" spans="1:2" x14ac:dyDescent="0.2">
      <c r="A28">
        <v>2018</v>
      </c>
      <c r="B28" s="33">
        <v>518.30700000000002</v>
      </c>
    </row>
    <row r="29" spans="1:2" x14ac:dyDescent="0.2">
      <c r="A29">
        <v>2019</v>
      </c>
      <c r="B29" s="33">
        <v>532.95600000000002</v>
      </c>
    </row>
    <row r="30" spans="1:2" x14ac:dyDescent="0.2">
      <c r="A30">
        <v>2020</v>
      </c>
      <c r="B30" s="33">
        <v>564.75400000000002</v>
      </c>
    </row>
    <row r="32" spans="1:2" x14ac:dyDescent="0.2">
      <c r="A32" s="48" t="s">
        <v>56</v>
      </c>
    </row>
    <row r="33" spans="1:2" x14ac:dyDescent="0.2">
      <c r="A33" t="s">
        <v>73</v>
      </c>
      <c r="B33" s="34" t="s">
        <v>57</v>
      </c>
    </row>
    <row r="34" spans="1:2" x14ac:dyDescent="0.2">
      <c r="A34" t="s">
        <v>71</v>
      </c>
      <c r="B34" t="s">
        <v>58</v>
      </c>
    </row>
    <row r="35" spans="1:2" x14ac:dyDescent="0.2">
      <c r="A35" t="s">
        <v>72</v>
      </c>
      <c r="B35" s="46" t="s">
        <v>59</v>
      </c>
    </row>
  </sheetData>
  <hyperlinks>
    <hyperlink ref="B33" r:id="rId1" xr:uid="{12D5F54B-2650-4DE0-8A31-159333E02325}"/>
    <hyperlink ref="B35" r:id="rId2" xr:uid="{1A8FEE6D-2A0B-41D4-A0A3-6CBBC686A0B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F3EF69DDAFFA489749C8AB3E28CFC8" ma:contentTypeVersion="12" ma:contentTypeDescription="Create a new document." ma:contentTypeScope="" ma:versionID="9bef12f6b622c66f080c1bacc1fbe3dc">
  <xsd:schema xmlns:xsd="http://www.w3.org/2001/XMLSchema" xmlns:xs="http://www.w3.org/2001/XMLSchema" xmlns:p="http://schemas.microsoft.com/office/2006/metadata/properties" xmlns:ns2="cab52836-fac2-4087-9813-56240fa17971" xmlns:ns3="108eb350-3fc9-4927-b118-2b8d3b79757f" targetNamespace="http://schemas.microsoft.com/office/2006/metadata/properties" ma:root="true" ma:fieldsID="6fe47c1f0fa10a573673cbbb7d3225d6" ns2:_="" ns3:_="">
    <xsd:import namespace="cab52836-fac2-4087-9813-56240fa17971"/>
    <xsd:import namespace="108eb350-3fc9-4927-b118-2b8d3b7975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52836-fac2-4087-9813-56240fa179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8eb350-3fc9-4927-b118-2b8d3b7975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A42A50-38B6-4551-AC00-FBBB6677E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b52836-fac2-4087-9813-56240fa17971"/>
    <ds:schemaRef ds:uri="108eb350-3fc9-4927-b118-2b8d3b7975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71E87-C0EF-4B8E-8D54-097153536D30}">
  <ds:schemaRefs>
    <ds:schemaRef ds:uri="http://schemas.microsoft.com/sharepoint/v3/contenttype/forms"/>
  </ds:schemaRefs>
</ds:datastoreItem>
</file>

<file path=customXml/itemProps3.xml><?xml version="1.0" encoding="utf-8"?>
<ds:datastoreItem xmlns:ds="http://schemas.openxmlformats.org/officeDocument/2006/customXml" ds:itemID="{40FB0CD6-70FE-4848-8CF2-8EC0A6619AA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Costs &amp; Revenue</vt:lpstr>
      <vt:lpstr>HBPC Program Savings</vt:lpstr>
      <vt:lpstr>Paramedic Program Savings</vt:lpstr>
      <vt:lpstr>Choice</vt:lpstr>
      <vt:lpstr>Shared Savings</vt:lpstr>
      <vt:lpstr>Extra C&amp;B</vt:lpstr>
      <vt:lpstr>Return on Investment</vt:lpstr>
      <vt:lpstr>Inflation</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ssobul</dc:creator>
  <cp:lastModifiedBy>Microsoft Office User</cp:lastModifiedBy>
  <dcterms:created xsi:type="dcterms:W3CDTF">2020-12-15T15:02:47Z</dcterms:created>
  <dcterms:modified xsi:type="dcterms:W3CDTF">2022-01-14T19:05:08Z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0x010100BCF3EF69DDAFFA489749C8AB3E28CFC8</vt:lpwstr>
  </property>
</Properties>
</file>